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35" yWindow="2595" windowWidth="12120" windowHeight="9120" activeTab="2"/>
  </bookViews>
  <sheets>
    <sheet name="HOD" sheetId="1" r:id="rId1"/>
    <sheet name="Assoc.or Prof" sheetId="2" r:id="rId2"/>
    <sheet name="Sen.Lecturer" sheetId="3" r:id="rId3"/>
    <sheet name="Lecturer" sheetId="4" r:id="rId4"/>
  </sheets>
  <definedNames>
    <definedName name="_xlnm.Print_Area" localSheetId="1">'Assoc.or Prof'!$A$1:$F$325</definedName>
    <definedName name="_xlnm.Print_Area" localSheetId="0">'HOD'!$A$1:$F$325</definedName>
    <definedName name="_xlnm.Print_Area" localSheetId="3">'Lecturer'!$A$1:$F$325</definedName>
    <definedName name="_xlnm.Print_Area" localSheetId="2">'Sen.Lecturer'!$A$1:$F$325</definedName>
  </definedNames>
  <calcPr fullCalcOnLoad="1"/>
</workbook>
</file>

<file path=xl/sharedStrings.xml><?xml version="1.0" encoding="utf-8"?>
<sst xmlns="http://schemas.openxmlformats.org/spreadsheetml/2006/main" count="997" uniqueCount="237">
  <si>
    <t>Default 
weighting (%)</t>
  </si>
  <si>
    <t>Performance category</t>
  </si>
  <si>
    <t>Post level</t>
  </si>
  <si>
    <t>Faculty post level norms</t>
  </si>
  <si>
    <t>Score based on over-performance / underperformance in respect of the norm (B):</t>
  </si>
  <si>
    <r>
      <t xml:space="preserve">Academic rank:
</t>
    </r>
    <r>
      <rPr>
        <sz val="12"/>
        <rFont val="Arial"/>
        <family val="2"/>
      </rPr>
      <t>(Associate or Professor)</t>
    </r>
  </si>
  <si>
    <t>(A)  Score awarded for undergraduate teaching (mean value x 1.8)</t>
  </si>
  <si>
    <t>Where the supervisor and co-supervisor are from the US the student credit is shared by them to reflect the relative contribution of each in the year under review.  (Note: in one year a supervisor/co-supervisor may carry the greater load and this will be reflected in the proportions (%) allocated).  In all other cases (i.e. the co-supervisor is at another institution locally or abroad) the full value counts towards the US staff member.  Supervision of an Honours project counts 0.5 for the one year of enrolment; Coursework MSc students count 0.5 per year for the two years of enrolment.</t>
  </si>
  <si>
    <r>
      <t xml:space="preserve">(C). Postgraduate students (BSc Hons, MSc and PhD): </t>
    </r>
    <r>
      <rPr>
        <sz val="12"/>
        <rFont val="Arial"/>
        <family val="2"/>
      </rPr>
      <t xml:space="preserve">Current supervision (as either supervisor or co-supervisor) of US honours, MSc and PhD students that qualify for subsidy (i.e. Honours students in their first year, M-students in their first or second year, and PhD in their first to third year of study).  In the case of MSc and PhD students that have formally enrolled as part-time students add one year to the above.  </t>
    </r>
  </si>
  <si>
    <r>
      <t xml:space="preserve">(B). </t>
    </r>
    <r>
      <rPr>
        <u val="single"/>
        <sz val="12"/>
        <rFont val="Arial"/>
        <family val="2"/>
      </rPr>
      <t>Performance in respect of teaching norms (hours per year):</t>
    </r>
  </si>
  <si>
    <t>Complies completely with all requirements</t>
  </si>
  <si>
    <t>Performance is frequently better than the standard requirement</t>
  </si>
  <si>
    <t>Performance always better than the requirement</t>
  </si>
  <si>
    <t>Excellent – performance can not easily be improved upon</t>
  </si>
  <si>
    <t>more than 8 100</t>
  </si>
  <si>
    <t xml:space="preserve"> </t>
  </si>
  <si>
    <t>&gt;4 accredited participations</t>
  </si>
  <si>
    <t>Weighting (%)</t>
  </si>
  <si>
    <t>Lecturer</t>
  </si>
  <si>
    <t xml:space="preserve">    Details</t>
  </si>
  <si>
    <t>PhD</t>
  </si>
  <si>
    <t>MSc</t>
  </si>
  <si>
    <t>Hons. Or Coursework MSc students</t>
  </si>
  <si>
    <t>This is based on:</t>
  </si>
  <si>
    <t>Senior Lecturer</t>
  </si>
  <si>
    <t>Associate Professor</t>
  </si>
  <si>
    <t>Professor</t>
  </si>
  <si>
    <t>Chair/HOD</t>
  </si>
  <si>
    <t>Norm</t>
  </si>
  <si>
    <t>Score awarded for postgraduate direction (C):</t>
  </si>
  <si>
    <t>A+B+C</t>
  </si>
  <si>
    <t>(i)</t>
  </si>
  <si>
    <t>(ii)</t>
  </si>
  <si>
    <t>Course/
Module code</t>
  </si>
  <si>
    <t>Number lectures</t>
  </si>
  <si>
    <t>Number of pracs</t>
  </si>
  <si>
    <t>Total teaching hours:</t>
  </si>
  <si>
    <t>Score for research:</t>
  </si>
  <si>
    <t>Score awarded for internal service activities (A):</t>
  </si>
  <si>
    <t>Score awarded for internal service activities (B):</t>
  </si>
  <si>
    <t xml:space="preserve">Name:               </t>
  </si>
  <si>
    <t xml:space="preserve">Service: </t>
  </si>
  <si>
    <t>RESEARCH:</t>
  </si>
  <si>
    <t>2.5 or more students</t>
  </si>
  <si>
    <t>Accredited participation (No.)</t>
  </si>
  <si>
    <t>Academic rank:</t>
  </si>
  <si>
    <t>Mean score for 13 criteria</t>
  </si>
  <si>
    <t>Weighting%</t>
  </si>
  <si>
    <t>Publications</t>
  </si>
  <si>
    <t>Weighting</t>
  </si>
  <si>
    <t>SYMBOL ALLOCATED</t>
  </si>
  <si>
    <t>1 801 - 2 700</t>
  </si>
  <si>
    <t xml:space="preserve">Professor </t>
  </si>
  <si>
    <t xml:space="preserve"> A+B </t>
  </si>
  <si>
    <t>In broad terms these are activities related to departmental, faculty and institutional service that require significant staff-time.  Since single high intensity contributions in one candidate’s case will need to be measured against sustained contributions over the entire year in other cases, the allocation of a score is inherently subjective.  As a result this aspect of the performance evaluation will be finalized in consultation with the HOD and a committee comprising two senior colleagues. Staff members complete A and B below in order to derive a provisional score for service but this will be adjudicated at the point of consultation.</t>
  </si>
  <si>
    <t xml:space="preserve">Provisional score </t>
  </si>
  <si>
    <t>Complete only the sections in white below</t>
  </si>
  <si>
    <t>No students</t>
  </si>
  <si>
    <t>Total Postgraduates:</t>
  </si>
  <si>
    <t>Performance completely inadequate</t>
  </si>
  <si>
    <t>Does not in general comply with post requirements</t>
  </si>
  <si>
    <t>Does not fully comply with some post requirements</t>
  </si>
  <si>
    <t>1 800 and less</t>
  </si>
  <si>
    <t>Performance is just adequate</t>
  </si>
  <si>
    <t>Complies in a satisfactory manner with post requirements</t>
  </si>
  <si>
    <t xml:space="preserve">WEIGHTING FACTORS </t>
  </si>
  <si>
    <t>No.</t>
  </si>
  <si>
    <t>List the postgraduates currently supervised that qualify for the calculation</t>
  </si>
  <si>
    <t>Date first registration</t>
  </si>
  <si>
    <t>Total</t>
  </si>
  <si>
    <t>2 or more students</t>
  </si>
  <si>
    <t>Score for teaching:</t>
  </si>
  <si>
    <t>Score for service rendering:</t>
  </si>
  <si>
    <r>
      <t>Category</t>
    </r>
  </si>
  <si>
    <t>Score X10</t>
  </si>
  <si>
    <t>TOTAL:</t>
  </si>
  <si>
    <t>RELATIVE WEIGHTS OF PERFORMANCE EVALUATION:</t>
  </si>
  <si>
    <t>Senior 
lecturer</t>
  </si>
  <si>
    <t xml:space="preserve">Date:  </t>
  </si>
  <si>
    <t xml:space="preserve">Assoc. 
Professor                    </t>
  </si>
  <si>
    <t>FACULTY OF SCIENCE</t>
  </si>
  <si>
    <t>Score awarded for publications (A):</t>
  </si>
  <si>
    <t>TEACHING:</t>
  </si>
  <si>
    <t xml:space="preserve">Mean value for categories: </t>
  </si>
  <si>
    <t>List modules taught, numbers of lectures and practicals given in each instance and hostudents enrolled for each course. Provide the number of assistants that contributed to marking.</t>
  </si>
  <si>
    <r>
      <t xml:space="preserve">The employee's final performance evaluation score and the corresponding level of performance achieved is indicated in </t>
    </r>
    <r>
      <rPr>
        <b/>
        <sz val="12"/>
        <rFont val="Arial"/>
        <family val="2"/>
      </rPr>
      <t>bold</t>
    </r>
    <r>
      <rPr>
        <sz val="12"/>
        <rFont val="Arial"/>
        <family val="2"/>
      </rPr>
      <t xml:space="preserve"> in the apropriate category below.</t>
    </r>
  </si>
  <si>
    <t>% as Co-supervisor</t>
  </si>
  <si>
    <t xml:space="preserve">            </t>
  </si>
  <si>
    <t>2 701 - 3 600</t>
  </si>
  <si>
    <t>N-</t>
  </si>
  <si>
    <t>N</t>
  </si>
  <si>
    <t>N+</t>
  </si>
  <si>
    <t>3 601 - 4 500</t>
  </si>
  <si>
    <t>4 501 - 5 400</t>
  </si>
  <si>
    <t>5 401 - 6 300</t>
  </si>
  <si>
    <t>S-</t>
  </si>
  <si>
    <t>S</t>
  </si>
  <si>
    <t>S+</t>
  </si>
  <si>
    <t>6 301 - 7 200</t>
  </si>
  <si>
    <t>7 201 - 8 100</t>
  </si>
  <si>
    <t>M-</t>
  </si>
  <si>
    <t>M</t>
  </si>
  <si>
    <t>M+</t>
  </si>
  <si>
    <t xml:space="preserve"> A + B </t>
  </si>
  <si>
    <t xml:space="preserve">Introduction:  </t>
  </si>
  <si>
    <t>Limits (%)</t>
  </si>
  <si>
    <t xml:space="preserve">Service </t>
  </si>
  <si>
    <t>Teaching</t>
  </si>
  <si>
    <t>Research</t>
  </si>
  <si>
    <t>Service</t>
  </si>
  <si>
    <t xml:space="preserve">Lecturer </t>
  </si>
  <si>
    <t>% as Supervisor</t>
  </si>
  <si>
    <t xml:space="preserve">(A). Internal: Provide a numerical list of service activities rendered within the US (these would include coordinator of modules, programmes, chairing of departmental committees, participation in faculty or senate committees, project work for the University, provision of short courses, summer school activities, departmental/faculty outreach activities, special tasks assigned by the Dean and HOD etc.). </t>
  </si>
  <si>
    <t>Score awarded for impact (B):</t>
  </si>
  <si>
    <t>Teaching:</t>
  </si>
  <si>
    <t>Research:</t>
  </si>
  <si>
    <t>Author(s)</t>
  </si>
  <si>
    <t>Title</t>
  </si>
  <si>
    <t>Journal, volume and page numbers</t>
  </si>
  <si>
    <t xml:space="preserve">Score based on the mean value calculated above: </t>
  </si>
  <si>
    <t>Score</t>
  </si>
  <si>
    <t>Impact factor</t>
  </si>
  <si>
    <t>Name</t>
  </si>
  <si>
    <t>Degree</t>
  </si>
  <si>
    <t>0.5 students</t>
  </si>
  <si>
    <t>1 student</t>
  </si>
  <si>
    <t>1.5 students</t>
  </si>
  <si>
    <t>2 students</t>
  </si>
  <si>
    <t>(A). Internal service activities</t>
  </si>
  <si>
    <t>(B). External service activities</t>
  </si>
  <si>
    <t>0 accredited participation</t>
  </si>
  <si>
    <t>1 accredited participation</t>
  </si>
  <si>
    <t>2 accredited participations</t>
  </si>
  <si>
    <t>&gt;3 accredited participations</t>
  </si>
  <si>
    <t>3 accredited participations</t>
  </si>
  <si>
    <t>Notes:</t>
  </si>
  <si>
    <t>(1)  Staff supervising students from other institutions can only get recognition under “ external service”.</t>
  </si>
  <si>
    <t>Date of submission of final copy 
(ie.23-Jan-06)</t>
  </si>
  <si>
    <t>1 students</t>
  </si>
  <si>
    <t>0.5 student</t>
  </si>
  <si>
    <t>0.587-0.679</t>
  </si>
  <si>
    <t>0.680-0.857</t>
  </si>
  <si>
    <t>0.858-1.000</t>
  </si>
  <si>
    <t>EARTH SCIENCE</t>
  </si>
  <si>
    <t>0.49 - 0.97</t>
  </si>
  <si>
    <t>0.98 - 1.46</t>
  </si>
  <si>
    <t>1.47 - 1.95</t>
  </si>
  <si>
    <t>1.96 - 2.44</t>
  </si>
  <si>
    <t>2.45 - 2.93</t>
  </si>
  <si>
    <t>2.94 - 3.42</t>
  </si>
  <si>
    <t>3.43 - 3.91</t>
  </si>
  <si>
    <t>0.21 - 0.40</t>
  </si>
  <si>
    <t>0.41 - 0.60</t>
  </si>
  <si>
    <t>0.61 - 0.80</t>
  </si>
  <si>
    <t>0.81 - 1.00</t>
  </si>
  <si>
    <t>1.01 - 1.20</t>
  </si>
  <si>
    <t>1.21 - 1.40</t>
  </si>
  <si>
    <t>1.41 - 1.60</t>
  </si>
  <si>
    <r>
      <t>B. Impact factor:</t>
    </r>
    <r>
      <rPr>
        <sz val="12"/>
        <rFont val="Arial"/>
        <family val="2"/>
      </rPr>
      <t xml:space="preserve"> This is calculated as the mean of the three highest impact factors in the three-year cycle (x/3). These can be in any combination (i.e. three from a single year or combination of years).  This value is used for deriving B in the formula </t>
    </r>
  </si>
  <si>
    <t>Category N:
Does not comply with the required standards</t>
  </si>
  <si>
    <t>Category S: 
Complies with the required standards</t>
  </si>
  <si>
    <t>Category M: 
More than complies with the required standards</t>
  </si>
  <si>
    <t>Year of publication</t>
  </si>
  <si>
    <t>0.269-0.437</t>
  </si>
  <si>
    <t>0.438-0.586</t>
  </si>
  <si>
    <t>1.001-1.222</t>
  </si>
  <si>
    <t>1.223-1.830</t>
  </si>
  <si>
    <t>Date first registration (ie.23-Jan-04)</t>
  </si>
  <si>
    <t xml:space="preserve">Contact time for formal lectures at undergraduate and Honours (1 hour per lecture) as well as formal practicals/labs (3 hours per prac). </t>
  </si>
  <si>
    <t>Recognition for teaching large classes is addressed through a correction factor.  This is applied to the number of lecturing contact hours and is based on numbers of students (i.e.  &gt;40 x 1.5; &gt;100 x 2)</t>
  </si>
  <si>
    <t>Number of students in course</t>
  </si>
  <si>
    <t>Correction factor</t>
  </si>
  <si>
    <t>&lt;9</t>
  </si>
  <si>
    <t>10 - 29</t>
  </si>
  <si>
    <t>30 - 49</t>
  </si>
  <si>
    <t>50 - 59</t>
  </si>
  <si>
    <t xml:space="preserve">60 - 70 </t>
  </si>
  <si>
    <t>71 - 80</t>
  </si>
  <si>
    <t xml:space="preserve">81 - 90 </t>
  </si>
  <si>
    <t>&gt;91</t>
  </si>
  <si>
    <t>&lt;29</t>
  </si>
  <si>
    <t>50 - 69</t>
  </si>
  <si>
    <t>70 - 89</t>
  </si>
  <si>
    <t>90 - 100</t>
  </si>
  <si>
    <t>101 - 110</t>
  </si>
  <si>
    <t>111 - 120</t>
  </si>
  <si>
    <t>121 - 130</t>
  </si>
  <si>
    <t>&gt;131</t>
  </si>
  <si>
    <t>&lt;40</t>
  </si>
  <si>
    <t>41-59</t>
  </si>
  <si>
    <t>60-79</t>
  </si>
  <si>
    <t>80-99</t>
  </si>
  <si>
    <t>100-110</t>
  </si>
  <si>
    <t>111-120</t>
  </si>
  <si>
    <t>121-130</t>
  </si>
  <si>
    <t>131-140</t>
  </si>
  <si>
    <t>&gt;141</t>
  </si>
  <si>
    <t>List students that are over the time-limit (3rd year MSc-students, 4th year PhD-students).</t>
  </si>
  <si>
    <t>(2)  Final concluding credit: A final credit unit is allocated to the supervisor/co-supervisor on completion of the MSc or PhD.</t>
  </si>
  <si>
    <t>Date first registration 
(ie.23-Jan-04)</t>
  </si>
  <si>
    <t>No deviation</t>
  </si>
  <si>
    <t xml:space="preserve">(B). External: Provide a numerical list of service activities rendered beyond the confines of campus (these would include membership of national or international boards/councils; participation on editorial boards of journals; extraordinary participation in activities leading to increased public understanding of science; external participation in teaching and postgraduate student supervision; interaction with industry, service on NRF discipline panels, organizing committees of national and internal meetings, workshops etc.).    </t>
  </si>
  <si>
    <t>Signature:
 Dean</t>
  </si>
  <si>
    <t>Signature:  
Staff member</t>
  </si>
  <si>
    <t>HOD</t>
  </si>
  <si>
    <t>Senior lecturer</t>
  </si>
  <si>
    <t xml:space="preserve">Junior lecturer </t>
  </si>
  <si>
    <t>To be set in consultation with HOD</t>
  </si>
  <si>
    <t>3.92 - 4.40</t>
  </si>
  <si>
    <t>1.831-2.109</t>
  </si>
  <si>
    <t>1.61 - 1.80</t>
  </si>
  <si>
    <t>20….. / 20…..</t>
  </si>
  <si>
    <t xml:space="preserve">                          PERFORMANCE EVALUATION FOR C1-PERSONNEL</t>
  </si>
  <si>
    <t>Weighting (%) previously agreed to for this performance evaluation:</t>
  </si>
  <si>
    <t>Weighting (%) agreed on for th next performance evaluation:</t>
  </si>
  <si>
    <t>List numerically the MSc and PhD students that graduated in the review period.</t>
  </si>
  <si>
    <r>
      <t>(A). Undergraduate teaching</t>
    </r>
    <r>
      <rPr>
        <sz val="12"/>
        <rFont val="Arial"/>
        <family val="2"/>
      </rPr>
      <t>: Scores are derived from student feedback using data on the lecturer (not the module) provided by the Uni-ed course evaluation instrument. The lecturer may use his or her best evaluation of the preceding calendar year. The mean value of the 13 criteria presented in the report is used (e.g. calculated as: 4.05 + 4.5 + 3.8 + 3.7 + etc. divided by the number of categories).</t>
    </r>
  </si>
  <si>
    <t>SERVICE IN THE PAST YEAR</t>
  </si>
  <si>
    <r>
      <t xml:space="preserve">Academic rank:
</t>
    </r>
    <r>
      <rPr>
        <sz val="12"/>
        <rFont val="Arial"/>
        <family val="2"/>
      </rPr>
      <t>(HOD)</t>
    </r>
  </si>
  <si>
    <t xml:space="preserve">Performance evaluation is undertaken annually in accordance with Faculty guidelines. The period under review is from July 1 to June 30. The form assesses performance in research, teaching and service using a nine-point scale and can be completed largely by the staff member without recourse to interview. The only aspect of the evaluation that is not strictly quantifiable and, as a result will be finalized in discussion with the HOD and a committee comprising two senior colleagues, is the service component. However, in most evaluations this counts 5 - 10% of the total. </t>
  </si>
  <si>
    <t>The HOD exercises an audit role and is responsible for ensuring the accuracy of the data provided by staff. In addition to completing the performance evaluation form, each staff member is required to submit a separate, single page summary highlighting major achievements in the past year, other noteworthy academic endeavours of a substantial nature, and a comprehensive updated CV. Both documents and the performance evaluation can be submitted electronically to the Dean's secretary for collating. A meeting to finalize the service component allocation and to discuss the major achievements in the past year (and their possible acknowledgement in the final performance score) will be scheduled with the respective staff member.  Thereafter the performance scores and other supporting documents are submitted to the Dean's Office.</t>
  </si>
  <si>
    <t>Under normal circumstances the default weightings presented above apply.  However, the weights allocated to each of the three assessment categories can deviate (within the limits specified above) following consultation with the Dean of Science. The weightings for the prospective year are determined during the performance evaluation cycle immediately preceding this. In the case of the HOD an additional performance category, Management and Administration, will be assessed separately based on input (40%) from an evaluation panel (4-5 members that must include representatives of both C1 and support staff); the balance (60%) is derived from the Dean's assessment.</t>
  </si>
  <si>
    <r>
      <t>(A) Publications:</t>
    </r>
    <r>
      <rPr>
        <sz val="12"/>
        <rFont val="Arial"/>
        <family val="2"/>
      </rPr>
      <t xml:space="preserve"> List numerically all peer-reviewed papers, peer-reviewed conference proceedings and peer-reviewed book chapters on which you were author or co-author that carry a publication date of the previous 3 years.  Published abstracts are not taken into consideration.  Use the most recent Impact Factors available on the Library database; if you have problems contact your discipline's librarian. Please provide full details on these publications in the space below (all authors, title, Journal name in full, date, page numbers and impact factors).</t>
    </r>
  </si>
  <si>
    <t>Mean number of publications over last three years or agreed period:</t>
  </si>
  <si>
    <r>
      <t>&gt;</t>
    </r>
    <r>
      <rPr>
        <sz val="12"/>
        <rFont val="Arial"/>
        <family val="2"/>
      </rPr>
      <t>4.41</t>
    </r>
  </si>
  <si>
    <t>(Use the most recent Impact Factors available on the Library database).</t>
  </si>
  <si>
    <r>
      <t>&gt;</t>
    </r>
    <r>
      <rPr>
        <sz val="12"/>
        <rFont val="Arial"/>
        <family val="2"/>
      </rPr>
      <t>2.110</t>
    </r>
  </si>
  <si>
    <t>Dean's motivation for adjustment of final performance score based on noteworthy academic achievements not taken into consideration in the performance categories itemized above (see Introduction). The adjustment is capped at one incremental increase in the final performance score above (i.e. M to M+)</t>
  </si>
  <si>
    <t>Signature: 
HOD</t>
  </si>
  <si>
    <t>Weighting (%) agreed on for the next performance evaluation:</t>
  </si>
  <si>
    <t>The HOD exercises an audit role and is responsible for ensuring the accuracy of the data provided by staff. In addition to completing the performance evaluation form, each staff member is required to submit a separate, single page summary highlighting major achievements in the past year, other noteworthy academic endeavours of a substantial nature, and a comprehensive updated CV. Both documents and the performance evaluation can be submitted electronically to the Departmental Secretary for collating. A meeting to finalize the service component allocation and to discuss the major achievements in the past year (and their possible acknowledgement in the final performance score) will be scheduled with the respective staff member.  Thereafter the performance scores and other supporting documents are submitted to the Dean's Office.</t>
  </si>
  <si>
    <t xml:space="preserve">Under normal circumstances the default weightings presented above apply.  However, the weights allocated to each of the three assessment categories can deviate (within the limits specified above) following consultation with the HOD.  The weightings for the prospective year are determined during the performance evaluation cycle immediately preceding this. </t>
  </si>
  <si>
    <t>HOD's motivation for adjustment of final performance score based on noteworthy academic achievements not taken into consideration in the performance categories itemized above (see Introduction). The adjustment is capped at one incremental increase in the final performance score above (i.e. M to M+)</t>
  </si>
  <si>
    <t>Signature:
 HOD</t>
  </si>
  <si>
    <t>(Use the mst recent Impact Factors available on the Library database).</t>
  </si>
  <si>
    <r>
      <t>&gt;</t>
    </r>
    <r>
      <rPr>
        <sz val="12"/>
        <rFont val="Arial"/>
        <family val="2"/>
      </rPr>
      <t>1.81</t>
    </r>
  </si>
  <si>
    <t xml:space="preserve">Performance evaluation is undertaken annually in accordance with Faculty guidelines. The period under review is from July 1  to June 30. The form assesses performance in research, teaching and service using a nine-point scale and can be completed largely by the staff member without recourse to interview. The only aspect of the evaluation that is not strictly quantifiable and, as a result will be finalized in discussion with the HOD and a committee comprising two senior colleagues, is the service component. However, in most evaluations this counts 5 - 10% of the total. </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</si>
</sst>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1C09]dd\ mmmm\ yyyy"/>
    <numFmt numFmtId="177" formatCode="[$-1C09]dd\ mmmm\ yyyy;@"/>
    <numFmt numFmtId="178" formatCode="d\-mmm\-yyyy"/>
    <numFmt numFmtId="179" formatCode="0.000"/>
    <numFmt numFmtId="180" formatCode="mmm\-yyyy"/>
  </numFmts>
  <fonts count="17">
    <font>
      <sz val="10"/>
      <name val="Arial"/>
      <family val="0"/>
    </font>
    <font>
      <b/>
      <sz val="11"/>
      <name val="Arial"/>
      <family val="2"/>
    </font>
    <font>
      <sz val="8"/>
      <name val="Arial"/>
      <family val="0"/>
    </font>
    <font>
      <b/>
      <sz val="12"/>
      <name val="Arial"/>
      <family val="2"/>
    </font>
    <font>
      <sz val="12"/>
      <name val="Arial"/>
      <family val="2"/>
    </font>
    <font>
      <sz val="12"/>
      <name val="Times New Roman"/>
      <family val="1"/>
    </font>
    <font>
      <u val="single"/>
      <sz val="12"/>
      <name val="Arial"/>
      <family val="2"/>
    </font>
    <font>
      <b/>
      <u val="single"/>
      <sz val="12"/>
      <name val="Arial"/>
      <family val="2"/>
    </font>
    <font>
      <b/>
      <sz val="14"/>
      <name val="Arial"/>
      <family val="2"/>
    </font>
    <font>
      <sz val="14"/>
      <name val="Arial"/>
      <family val="2"/>
    </font>
    <font>
      <b/>
      <sz val="20"/>
      <name val="Arial"/>
      <family val="2"/>
    </font>
    <font>
      <sz val="20"/>
      <name val="Arial"/>
      <family val="2"/>
    </font>
    <font>
      <b/>
      <sz val="8"/>
      <name val="Arial"/>
      <family val="2"/>
    </font>
    <font>
      <u val="single"/>
      <sz val="8"/>
      <name val="Arial"/>
      <family val="2"/>
    </font>
    <font>
      <b/>
      <i/>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3">
    <border>
      <left/>
      <right/>
      <top/>
      <bottom/>
      <diagonal/>
    </border>
    <border>
      <left style="medium"/>
      <right style="medium"/>
      <top style="medium"/>
      <bottom style="medium"/>
    </border>
    <border>
      <left style="thin"/>
      <right style="thin"/>
      <top style="thin"/>
      <bottom style="thin"/>
    </border>
    <border>
      <left style="thin">
        <color indexed="55"/>
      </left>
      <right style="thin">
        <color indexed="55"/>
      </right>
      <top style="medium"/>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medium"/>
    </border>
    <border>
      <left style="thin">
        <color indexed="55"/>
      </left>
      <right style="medium"/>
      <top style="medium"/>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thin">
        <color indexed="55"/>
      </bottom>
    </border>
    <border>
      <left>
        <color indexed="63"/>
      </left>
      <right>
        <color indexed="63"/>
      </right>
      <top style="medium"/>
      <bottom style="medium"/>
    </border>
    <border>
      <left style="medium"/>
      <right style="medium"/>
      <top style="medium"/>
      <bottom style="thin">
        <color indexed="55"/>
      </bottom>
    </border>
    <border>
      <left style="medium"/>
      <right style="medium"/>
      <top style="thin">
        <color indexed="55"/>
      </top>
      <bottom style="thin">
        <color indexed="55"/>
      </bottom>
    </border>
    <border>
      <left style="medium"/>
      <right style="medium"/>
      <top style="thin">
        <color indexed="55"/>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color indexed="63"/>
      </right>
      <top style="medium"/>
      <bottom style="thin">
        <color indexed="55"/>
      </bottom>
    </border>
    <border>
      <left style="thin">
        <color indexed="55"/>
      </left>
      <right style="thin">
        <color indexed="55"/>
      </right>
      <top style="medium"/>
      <bottom style="medium"/>
    </border>
    <border>
      <left style="thin">
        <color indexed="55"/>
      </left>
      <right style="medium"/>
      <top style="medium"/>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medium"/>
      <right style="thin">
        <color indexed="55"/>
      </right>
      <top style="medium"/>
      <bottom style="medium"/>
    </border>
    <border>
      <left style="medium"/>
      <right style="medium"/>
      <top style="thin">
        <color indexed="55"/>
      </top>
      <bottom>
        <color indexed="63"/>
      </bottom>
    </border>
    <border>
      <left>
        <color indexed="63"/>
      </left>
      <right style="medium">
        <color indexed="22"/>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color indexed="22"/>
      </left>
      <right>
        <color indexed="63"/>
      </right>
      <top>
        <color indexed="63"/>
      </top>
      <bottom>
        <color indexed="63"/>
      </bottom>
    </border>
    <border>
      <left style="medium"/>
      <right style="medium"/>
      <top style="medium"/>
      <bottom style="thin">
        <color indexed="23"/>
      </bottom>
    </border>
    <border>
      <left style="medium"/>
      <right style="medium"/>
      <top style="thin">
        <color indexed="23"/>
      </top>
      <bottom style="thin">
        <color indexed="23"/>
      </bottom>
    </border>
    <border>
      <left style="medium"/>
      <right style="medium"/>
      <top>
        <color indexed="63"/>
      </top>
      <bottom style="medium"/>
    </border>
    <border>
      <left style="medium"/>
      <right style="medium"/>
      <top style="thin">
        <color indexed="23"/>
      </top>
      <bottom style="medium"/>
    </border>
    <border>
      <left style="medium"/>
      <right style="thin">
        <color indexed="55"/>
      </right>
      <top style="medium"/>
      <bottom style="thin">
        <color indexed="23"/>
      </bottom>
    </border>
    <border>
      <left style="thin">
        <color indexed="55"/>
      </left>
      <right style="thin">
        <color indexed="55"/>
      </right>
      <top style="medium"/>
      <bottom style="thin">
        <color indexed="23"/>
      </bottom>
    </border>
    <border>
      <left style="medium"/>
      <right style="thin">
        <color indexed="55"/>
      </right>
      <top style="thin">
        <color indexed="23"/>
      </top>
      <bottom style="thin">
        <color indexed="23"/>
      </bottom>
    </border>
    <border>
      <left style="thin">
        <color indexed="55"/>
      </left>
      <right style="thin">
        <color indexed="55"/>
      </right>
      <top style="thin">
        <color indexed="23"/>
      </top>
      <bottom style="thin">
        <color indexed="23"/>
      </bottom>
    </border>
    <border>
      <left style="medium"/>
      <right style="thin">
        <color indexed="55"/>
      </right>
      <top style="thin">
        <color indexed="23"/>
      </top>
      <bottom style="medium"/>
    </border>
    <border>
      <left style="thin">
        <color indexed="55"/>
      </left>
      <right style="thin">
        <color indexed="55"/>
      </right>
      <top style="thin">
        <color indexed="23"/>
      </top>
      <bottom style="mediu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color indexed="55"/>
      </top>
      <bottom style="thin">
        <color indexed="55"/>
      </bottom>
    </border>
    <border>
      <left>
        <color indexed="63"/>
      </left>
      <right style="medium"/>
      <top style="thin">
        <color indexed="55"/>
      </top>
      <bottom style="medium"/>
    </border>
    <border>
      <left>
        <color indexed="63"/>
      </left>
      <right style="medium"/>
      <top style="medium"/>
      <bottom style="thin">
        <color indexed="55"/>
      </bottom>
    </border>
    <border>
      <left>
        <color indexed="63"/>
      </left>
      <right style="medium"/>
      <top>
        <color indexed="63"/>
      </top>
      <bottom style="thin">
        <color indexed="55"/>
      </bottom>
    </border>
    <border>
      <left style="thin"/>
      <right style="medium"/>
      <top style="thin"/>
      <bottom style="thin"/>
    </border>
    <border>
      <left style="thin">
        <color indexed="55"/>
      </left>
      <right>
        <color indexed="63"/>
      </right>
      <top style="medium"/>
      <bottom>
        <color indexed="63"/>
      </bottom>
    </border>
    <border>
      <left style="thin">
        <color indexed="55"/>
      </left>
      <right>
        <color indexed="63"/>
      </right>
      <top>
        <color indexed="63"/>
      </top>
      <bottom>
        <color indexed="63"/>
      </bottom>
    </border>
    <border>
      <left style="thin">
        <color indexed="55"/>
      </left>
      <right>
        <color indexed="63"/>
      </right>
      <top>
        <color indexed="63"/>
      </top>
      <bottom style="medium"/>
    </border>
    <border>
      <left style="medium"/>
      <right>
        <color indexed="63"/>
      </right>
      <top style="thin">
        <color indexed="55"/>
      </top>
      <bottom style="thin">
        <color indexed="55"/>
      </bottom>
    </border>
    <border>
      <left style="medium"/>
      <right>
        <color indexed="63"/>
      </right>
      <top style="medium"/>
      <bottom style="thin">
        <color indexed="55"/>
      </bottom>
    </border>
    <border>
      <left>
        <color indexed="63"/>
      </left>
      <right style="thin"/>
      <top>
        <color indexed="63"/>
      </top>
      <bottom>
        <color indexed="63"/>
      </bottom>
    </border>
    <border>
      <left style="medium"/>
      <right>
        <color indexed="63"/>
      </right>
      <top style="thin">
        <color indexed="55"/>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343">
    <xf numFmtId="0" fontId="0" fillId="0" borderId="0" xfId="0" applyAlignment="1">
      <alignment/>
    </xf>
    <xf numFmtId="0" fontId="3" fillId="2" borderId="0" xfId="0" applyFont="1" applyFill="1" applyBorder="1" applyAlignment="1">
      <alignmen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1" fontId="4" fillId="2" borderId="0"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vertical="center"/>
    </xf>
    <xf numFmtId="0" fontId="4" fillId="0" borderId="0" xfId="0" applyFont="1" applyBorder="1" applyAlignment="1">
      <alignment vertical="center"/>
    </xf>
    <xf numFmtId="0" fontId="4" fillId="2"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0" xfId="0" applyFont="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xf>
    <xf numFmtId="0" fontId="4" fillId="2" borderId="9" xfId="0" applyFont="1" applyFill="1" applyBorder="1" applyAlignment="1">
      <alignment horizontal="center" vertical="center" wrapText="1"/>
    </xf>
    <xf numFmtId="2" fontId="3" fillId="2" borderId="0" xfId="0" applyNumberFormat="1" applyFont="1" applyFill="1" applyBorder="1" applyAlignment="1">
      <alignment vertical="center"/>
    </xf>
    <xf numFmtId="2" fontId="3" fillId="2" borderId="10" xfId="0" applyNumberFormat="1" applyFont="1" applyFill="1" applyBorder="1" applyAlignment="1">
      <alignment vertical="center"/>
    </xf>
    <xf numFmtId="0" fontId="4" fillId="2" borderId="11" xfId="0" applyFont="1" applyFill="1" applyBorder="1" applyAlignment="1">
      <alignment horizontal="left" vertical="center"/>
    </xf>
    <xf numFmtId="2" fontId="4" fillId="2" borderId="0" xfId="0" applyNumberFormat="1" applyFont="1" applyFill="1" applyBorder="1" applyAlignment="1">
      <alignment vertical="center"/>
    </xf>
    <xf numFmtId="0" fontId="6" fillId="2" borderId="0" xfId="0" applyFont="1" applyFill="1" applyBorder="1" applyAlignment="1">
      <alignment vertical="center" wrapText="1"/>
    </xf>
    <xf numFmtId="0" fontId="4" fillId="2" borderId="12" xfId="0" applyFont="1" applyFill="1" applyBorder="1" applyAlignment="1">
      <alignment vertical="center" wrapText="1"/>
    </xf>
    <xf numFmtId="0" fontId="4" fillId="2" borderId="0" xfId="0" applyFont="1" applyFill="1" applyBorder="1" applyAlignment="1">
      <alignment vertical="center" wrapText="1"/>
    </xf>
    <xf numFmtId="0" fontId="4" fillId="2" borderId="13"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2" fontId="3" fillId="2" borderId="10" xfId="0" applyNumberFormat="1" applyFont="1" applyFill="1" applyBorder="1" applyAlignment="1">
      <alignment vertical="center" wrapText="1"/>
    </xf>
    <xf numFmtId="2" fontId="3" fillId="2" borderId="0" xfId="0" applyNumberFormat="1" applyFont="1" applyFill="1" applyBorder="1" applyAlignment="1">
      <alignment vertical="center" wrapText="1"/>
    </xf>
    <xf numFmtId="0" fontId="4" fillId="0" borderId="0" xfId="0" applyFont="1" applyAlignment="1">
      <alignment horizontal="center" vertical="center"/>
    </xf>
    <xf numFmtId="0" fontId="4" fillId="2" borderId="14" xfId="0" applyFont="1" applyFill="1" applyBorder="1" applyAlignment="1">
      <alignment horizontal="center" vertical="center" wrapText="1"/>
    </xf>
    <xf numFmtId="9" fontId="4" fillId="2" borderId="14"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2" borderId="15" xfId="0" applyFont="1" applyFill="1" applyBorder="1" applyAlignment="1">
      <alignment vertical="center" wrapText="1"/>
    </xf>
    <xf numFmtId="0" fontId="4" fillId="2" borderId="16" xfId="0" applyFont="1" applyFill="1" applyBorder="1" applyAlignment="1">
      <alignment horizontal="right" vertical="center"/>
    </xf>
    <xf numFmtId="0" fontId="4" fillId="2" borderId="16" xfId="0" applyFont="1" applyFill="1" applyBorder="1" applyAlignment="1">
      <alignment vertical="center"/>
    </xf>
    <xf numFmtId="0" fontId="4" fillId="2" borderId="17" xfId="0" applyFont="1" applyFill="1" applyBorder="1" applyAlignment="1">
      <alignment vertical="center" wrapText="1"/>
    </xf>
    <xf numFmtId="0" fontId="4" fillId="2" borderId="17" xfId="0" applyFont="1" applyFill="1" applyBorder="1" applyAlignment="1">
      <alignment horizontal="right" vertical="center"/>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2" fontId="3" fillId="2" borderId="1" xfId="0" applyNumberFormat="1" applyFont="1" applyFill="1" applyBorder="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4" fillId="2" borderId="13" xfId="0" applyFont="1" applyFill="1" applyBorder="1" applyAlignment="1">
      <alignment horizontal="right" vertical="center"/>
    </xf>
    <xf numFmtId="0" fontId="4" fillId="2" borderId="17" xfId="0" applyFont="1" applyFill="1" applyBorder="1" applyAlignment="1">
      <alignment vertical="center"/>
    </xf>
    <xf numFmtId="0" fontId="3"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4" fillId="2" borderId="16" xfId="0" applyFont="1" applyFill="1" applyBorder="1" applyAlignment="1">
      <alignment vertical="center" wrapText="1"/>
    </xf>
    <xf numFmtId="2" fontId="3" fillId="2" borderId="0" xfId="0" applyNumberFormat="1" applyFont="1" applyFill="1" applyBorder="1" applyAlignment="1">
      <alignment horizontal="right" vertical="center"/>
    </xf>
    <xf numFmtId="0" fontId="3" fillId="0" borderId="0" xfId="0" applyFont="1" applyFill="1" applyAlignment="1">
      <alignment horizontal="right" vertical="center" wrapText="1"/>
    </xf>
    <xf numFmtId="0" fontId="3" fillId="2" borderId="18"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20"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3" fillId="2" borderId="15" xfId="0" applyFont="1" applyFill="1" applyBorder="1" applyAlignment="1">
      <alignment vertical="center"/>
    </xf>
    <xf numFmtId="0" fontId="4" fillId="2" borderId="21" xfId="0"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3" fillId="2" borderId="16" xfId="0" applyFont="1" applyFill="1" applyBorder="1" applyAlignment="1">
      <alignment vertical="center"/>
    </xf>
    <xf numFmtId="0" fontId="4" fillId="0" borderId="0" xfId="0" applyFont="1" applyBorder="1" applyAlignment="1">
      <alignment horizontal="justify" vertical="center" wrapText="1"/>
    </xf>
    <xf numFmtId="0" fontId="4" fillId="2" borderId="22"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3" fillId="2" borderId="17" xfId="0" applyFont="1" applyFill="1" applyBorder="1" applyAlignment="1">
      <alignment vertical="center"/>
    </xf>
    <xf numFmtId="0" fontId="4" fillId="2" borderId="23" xfId="0" applyFont="1" applyFill="1" applyBorder="1" applyAlignment="1">
      <alignment horizontal="justify"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7"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12" xfId="0" applyFont="1" applyFill="1" applyBorder="1" applyAlignment="1">
      <alignment vertical="center"/>
    </xf>
    <xf numFmtId="0" fontId="3" fillId="2" borderId="15" xfId="0" applyFont="1" applyFill="1" applyBorder="1" applyAlignment="1">
      <alignment vertical="center" wrapText="1"/>
    </xf>
    <xf numFmtId="0" fontId="4" fillId="2" borderId="30" xfId="0" applyFont="1" applyFill="1" applyBorder="1" applyAlignment="1">
      <alignment vertical="center"/>
    </xf>
    <xf numFmtId="0" fontId="4" fillId="2" borderId="30" xfId="0" applyFont="1" applyFill="1" applyBorder="1" applyAlignment="1">
      <alignment horizontal="right" vertical="center"/>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4" fillId="2" borderId="31" xfId="0" applyFont="1" applyFill="1" applyBorder="1" applyAlignment="1">
      <alignment vertical="center"/>
    </xf>
    <xf numFmtId="2" fontId="4" fillId="2" borderId="31" xfId="0" applyNumberFormat="1" applyFont="1" applyFill="1" applyBorder="1" applyAlignment="1">
      <alignment vertical="center"/>
    </xf>
    <xf numFmtId="2" fontId="4" fillId="2" borderId="15" xfId="0" applyNumberFormat="1" applyFont="1" applyFill="1" applyBorder="1" applyAlignment="1">
      <alignment vertical="center"/>
    </xf>
    <xf numFmtId="2" fontId="4" fillId="2" borderId="16" xfId="0" applyNumberFormat="1" applyFont="1" applyFill="1" applyBorder="1" applyAlignment="1">
      <alignment vertical="center"/>
    </xf>
    <xf numFmtId="2" fontId="4" fillId="2" borderId="17" xfId="0" applyNumberFormat="1" applyFont="1" applyFill="1" applyBorder="1" applyAlignment="1">
      <alignment vertical="center"/>
    </xf>
    <xf numFmtId="0" fontId="4" fillId="2" borderId="0" xfId="0" applyFont="1" applyFill="1" applyBorder="1" applyAlignment="1">
      <alignment horizontal="left" vertical="center" wrapText="1"/>
    </xf>
    <xf numFmtId="0" fontId="4" fillId="2" borderId="32" xfId="0" applyFont="1" applyFill="1" applyBorder="1" applyAlignment="1">
      <alignment horizontal="left" vertical="center"/>
    </xf>
    <xf numFmtId="0" fontId="3" fillId="2" borderId="12" xfId="0" applyFont="1" applyFill="1" applyBorder="1" applyAlignment="1">
      <alignment horizontal="right" vertical="center"/>
    </xf>
    <xf numFmtId="0" fontId="4" fillId="2" borderId="33" xfId="0" applyFont="1" applyFill="1" applyBorder="1" applyAlignment="1">
      <alignment vertical="center"/>
    </xf>
    <xf numFmtId="0" fontId="4" fillId="2" borderId="19" xfId="0" applyFont="1" applyFill="1" applyBorder="1" applyAlignment="1">
      <alignment vertical="center"/>
    </xf>
    <xf numFmtId="179" fontId="2" fillId="0" borderId="0" xfId="0" applyNumberFormat="1" applyFont="1" applyBorder="1" applyAlignment="1">
      <alignment/>
    </xf>
    <xf numFmtId="179" fontId="2" fillId="0" borderId="0" xfId="0" applyNumberFormat="1" applyFont="1" applyBorder="1" applyAlignment="1">
      <alignment/>
    </xf>
    <xf numFmtId="179" fontId="12" fillId="0" borderId="0" xfId="0" applyNumberFormat="1" applyFont="1" applyBorder="1" applyAlignment="1">
      <alignment/>
    </xf>
    <xf numFmtId="0" fontId="3" fillId="2" borderId="1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1" xfId="0" applyFont="1" applyFill="1" applyBorder="1" applyAlignment="1">
      <alignment vertical="center" wrapText="1"/>
    </xf>
    <xf numFmtId="0" fontId="4" fillId="2" borderId="33" xfId="0" applyFont="1" applyFill="1" applyBorder="1" applyAlignment="1">
      <alignment vertical="center" wrapText="1"/>
    </xf>
    <xf numFmtId="0" fontId="4" fillId="2" borderId="11" xfId="0" applyFont="1" applyFill="1" applyBorder="1" applyAlignment="1">
      <alignment vertical="center"/>
    </xf>
    <xf numFmtId="0" fontId="3" fillId="2" borderId="11" xfId="0" applyFont="1" applyFill="1" applyBorder="1" applyAlignment="1">
      <alignment vertical="center"/>
    </xf>
    <xf numFmtId="0" fontId="3" fillId="2" borderId="33" xfId="0" applyFont="1" applyFill="1" applyBorder="1" applyAlignment="1">
      <alignment vertical="center"/>
    </xf>
    <xf numFmtId="0" fontId="3" fillId="2" borderId="11" xfId="0" applyFont="1" applyFill="1" applyBorder="1" applyAlignment="1">
      <alignment horizontal="right" vertical="center"/>
    </xf>
    <xf numFmtId="2" fontId="3" fillId="2" borderId="33" xfId="0" applyNumberFormat="1" applyFont="1" applyFill="1" applyBorder="1" applyAlignment="1">
      <alignment horizontal="right" vertical="center"/>
    </xf>
    <xf numFmtId="0" fontId="4" fillId="2" borderId="34" xfId="0" applyFont="1" applyFill="1" applyBorder="1" applyAlignment="1">
      <alignment vertical="center"/>
    </xf>
    <xf numFmtId="2" fontId="3" fillId="2" borderId="12" xfId="0" applyNumberFormat="1" applyFont="1" applyFill="1" applyBorder="1" applyAlignment="1">
      <alignment vertical="center"/>
    </xf>
    <xf numFmtId="0" fontId="3" fillId="2" borderId="20" xfId="0" applyFont="1" applyFill="1" applyBorder="1" applyAlignment="1">
      <alignment horizontal="left" vertical="center"/>
    </xf>
    <xf numFmtId="0" fontId="4" fillId="2" borderId="33" xfId="0" applyFont="1" applyFill="1" applyBorder="1" applyAlignment="1">
      <alignment horizontal="left" vertical="center"/>
    </xf>
    <xf numFmtId="0" fontId="4" fillId="2" borderId="35" xfId="0" applyFont="1" applyFill="1" applyBorder="1" applyAlignment="1">
      <alignment horizontal="center" vertical="center"/>
    </xf>
    <xf numFmtId="0" fontId="4" fillId="2" borderId="32" xfId="0" applyFont="1" applyFill="1" applyBorder="1" applyAlignment="1">
      <alignment horizontal="left" vertical="center" wrapText="1"/>
    </xf>
    <xf numFmtId="0" fontId="4" fillId="2" borderId="33" xfId="0" applyFont="1" applyFill="1" applyBorder="1" applyAlignment="1">
      <alignment horizontal="center" vertical="center"/>
    </xf>
    <xf numFmtId="0" fontId="3" fillId="2" borderId="34" xfId="0" applyFont="1" applyFill="1" applyBorder="1" applyAlignment="1">
      <alignment horizontal="left" vertical="center"/>
    </xf>
    <xf numFmtId="2" fontId="3" fillId="2" borderId="31" xfId="0" applyNumberFormat="1" applyFont="1" applyFill="1" applyBorder="1" applyAlignment="1">
      <alignment vertical="center"/>
    </xf>
    <xf numFmtId="0" fontId="3" fillId="2" borderId="36" xfId="0" applyFont="1" applyFill="1" applyBorder="1" applyAlignment="1">
      <alignment horizontal="left" vertical="center"/>
    </xf>
    <xf numFmtId="2" fontId="3" fillId="2" borderId="19" xfId="0" applyNumberFormat="1" applyFont="1" applyFill="1" applyBorder="1" applyAlignment="1">
      <alignment vertical="center"/>
    </xf>
    <xf numFmtId="2" fontId="3" fillId="2" borderId="33" xfId="0" applyNumberFormat="1" applyFont="1" applyFill="1" applyBorder="1" applyAlignment="1">
      <alignment vertical="center"/>
    </xf>
    <xf numFmtId="0" fontId="4" fillId="2" borderId="11" xfId="0" applyFont="1" applyFill="1" applyBorder="1" applyAlignment="1">
      <alignment horizontal="right" vertical="center"/>
    </xf>
    <xf numFmtId="2" fontId="3" fillId="2" borderId="19" xfId="0" applyNumberFormat="1" applyFont="1" applyFill="1" applyBorder="1" applyAlignment="1">
      <alignment horizontal="right" vertical="center" wrapText="1"/>
    </xf>
    <xf numFmtId="0" fontId="4" fillId="2" borderId="37" xfId="0" applyFont="1" applyFill="1" applyBorder="1" applyAlignment="1">
      <alignment vertical="center"/>
    </xf>
    <xf numFmtId="0" fontId="3" fillId="2" borderId="33" xfId="0" applyFont="1" applyFill="1" applyBorder="1" applyAlignment="1">
      <alignment horizontal="right" vertical="center" wrapText="1"/>
    </xf>
    <xf numFmtId="0" fontId="4" fillId="2" borderId="37" xfId="0" applyFont="1" applyFill="1" applyBorder="1" applyAlignment="1">
      <alignment horizontal="left" vertical="center"/>
    </xf>
    <xf numFmtId="0" fontId="3" fillId="2" borderId="36"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4" fillId="2" borderId="15" xfId="0" applyFont="1" applyFill="1" applyBorder="1" applyAlignment="1">
      <alignment vertical="center"/>
    </xf>
    <xf numFmtId="0" fontId="4" fillId="2" borderId="13" xfId="0" applyFont="1" applyFill="1" applyBorder="1" applyAlignment="1">
      <alignment vertical="center" wrapText="1"/>
    </xf>
    <xf numFmtId="0" fontId="4" fillId="2" borderId="33"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4" fillId="2" borderId="12" xfId="0" applyFont="1" applyFill="1" applyBorder="1" applyAlignment="1">
      <alignment horizontal="left" vertical="center"/>
    </xf>
    <xf numFmtId="0" fontId="4" fillId="2" borderId="12" xfId="0" applyFont="1" applyFill="1" applyBorder="1" applyAlignment="1">
      <alignment vertical="center"/>
    </xf>
    <xf numFmtId="0" fontId="4" fillId="2" borderId="15" xfId="0" applyFont="1" applyFill="1" applyBorder="1" applyAlignment="1">
      <alignment horizontal="right" vertical="center"/>
    </xf>
    <xf numFmtId="0" fontId="4" fillId="2" borderId="20" xfId="0" applyFont="1" applyFill="1" applyBorder="1" applyAlignment="1">
      <alignment vertical="center"/>
    </xf>
    <xf numFmtId="0" fontId="4" fillId="2" borderId="0" xfId="0" applyFont="1" applyFill="1" applyBorder="1" applyAlignment="1">
      <alignment horizontal="center" vertical="center"/>
    </xf>
    <xf numFmtId="0" fontId="4" fillId="2" borderId="36" xfId="0" applyFont="1" applyFill="1" applyBorder="1" applyAlignment="1">
      <alignment vertical="center"/>
    </xf>
    <xf numFmtId="0" fontId="4" fillId="0" borderId="0" xfId="0" applyFont="1" applyFill="1" applyAlignment="1">
      <alignment horizontal="center" vertical="center"/>
    </xf>
    <xf numFmtId="0" fontId="4" fillId="2" borderId="33" xfId="0" applyFont="1" applyFill="1" applyBorder="1" applyAlignment="1">
      <alignment horizontal="right" vertical="center"/>
    </xf>
    <xf numFmtId="1" fontId="13" fillId="0" borderId="0" xfId="0" applyNumberFormat="1" applyFont="1" applyBorder="1" applyAlignment="1">
      <alignment/>
    </xf>
    <xf numFmtId="1" fontId="12" fillId="0" borderId="0" xfId="0" applyNumberFormat="1" applyFont="1" applyBorder="1" applyAlignment="1">
      <alignment/>
    </xf>
    <xf numFmtId="0" fontId="6" fillId="2" borderId="0" xfId="0" applyFont="1" applyFill="1" applyBorder="1" applyAlignment="1">
      <alignment horizontal="center" vertical="center"/>
    </xf>
    <xf numFmtId="0" fontId="4" fillId="2" borderId="38" xfId="0" applyFont="1" applyFill="1" applyBorder="1" applyAlignment="1">
      <alignment horizontal="right" vertical="center" wrapText="1"/>
    </xf>
    <xf numFmtId="2" fontId="4" fillId="0" borderId="0" xfId="0" applyNumberFormat="1" applyFont="1" applyFill="1" applyAlignment="1">
      <alignment vertical="center"/>
    </xf>
    <xf numFmtId="0" fontId="4" fillId="2" borderId="11" xfId="0" applyFont="1" applyFill="1" applyBorder="1" applyAlignment="1">
      <alignment horizontal="center" vertical="center"/>
    </xf>
    <xf numFmtId="0" fontId="4" fillId="2" borderId="0" xfId="0" applyFont="1" applyFill="1" applyBorder="1" applyAlignment="1" quotePrefix="1">
      <alignment horizontal="right" vertical="center"/>
    </xf>
    <xf numFmtId="1" fontId="4" fillId="2" borderId="18" xfId="0" applyNumberFormat="1" applyFont="1" applyFill="1" applyBorder="1" applyAlignment="1">
      <alignment vertical="center"/>
    </xf>
    <xf numFmtId="2" fontId="4" fillId="2" borderId="18" xfId="0" applyNumberFormat="1" applyFont="1" applyFill="1" applyBorder="1" applyAlignment="1">
      <alignment vertical="center"/>
    </xf>
    <xf numFmtId="2" fontId="4" fillId="2" borderId="19" xfId="0" applyNumberFormat="1" applyFont="1" applyFill="1" applyBorder="1" applyAlignment="1">
      <alignment vertical="center"/>
    </xf>
    <xf numFmtId="2" fontId="4" fillId="2" borderId="1" xfId="0" applyNumberFormat="1" applyFont="1" applyFill="1" applyBorder="1" applyAlignment="1">
      <alignment vertical="center"/>
    </xf>
    <xf numFmtId="0" fontId="4" fillId="2" borderId="1" xfId="0" applyFont="1" applyFill="1" applyBorder="1" applyAlignment="1">
      <alignment vertical="center"/>
    </xf>
    <xf numFmtId="0" fontId="3" fillId="2" borderId="34" xfId="0" applyFont="1" applyFill="1" applyBorder="1" applyAlignment="1">
      <alignment horizontal="left" wrapText="1"/>
    </xf>
    <xf numFmtId="0" fontId="3" fillId="2" borderId="12" xfId="0" applyFont="1" applyFill="1" applyBorder="1" applyAlignment="1">
      <alignment horizontal="left" wrapText="1"/>
    </xf>
    <xf numFmtId="0" fontId="3" fillId="2" borderId="37" xfId="0" applyFont="1" applyFill="1" applyBorder="1" applyAlignment="1">
      <alignment horizontal="left" wrapText="1"/>
    </xf>
    <xf numFmtId="0" fontId="4" fillId="0" borderId="0" xfId="0" applyFont="1" applyAlignment="1">
      <alignment horizontal="left" vertical="center"/>
    </xf>
    <xf numFmtId="0" fontId="4" fillId="2" borderId="11" xfId="0" applyFont="1" applyFill="1" applyBorder="1" applyAlignment="1">
      <alignment horizontal="left" vertical="center" wrapText="1"/>
    </xf>
    <xf numFmtId="1" fontId="4" fillId="2" borderId="15" xfId="0" applyNumberFormat="1" applyFont="1" applyFill="1" applyBorder="1" applyAlignment="1">
      <alignment horizontal="right" vertical="center" wrapText="1"/>
    </xf>
    <xf numFmtId="2" fontId="4" fillId="2" borderId="39" xfId="0" applyNumberFormat="1" applyFont="1" applyFill="1" applyBorder="1" applyAlignment="1">
      <alignment horizontal="right" vertical="center" wrapText="1"/>
    </xf>
    <xf numFmtId="1" fontId="4" fillId="2" borderId="13" xfId="0" applyNumberFormat="1" applyFont="1" applyFill="1" applyBorder="1" applyAlignment="1">
      <alignment horizontal="right" vertical="center" wrapText="1"/>
    </xf>
    <xf numFmtId="2" fontId="4" fillId="2" borderId="40" xfId="0" applyNumberFormat="1" applyFont="1" applyFill="1" applyBorder="1" applyAlignment="1">
      <alignment horizontal="right" vertical="center" wrapText="1"/>
    </xf>
    <xf numFmtId="1" fontId="4" fillId="2" borderId="41" xfId="0" applyNumberFormat="1" applyFont="1" applyFill="1" applyBorder="1" applyAlignment="1">
      <alignment horizontal="right" vertical="center" wrapText="1"/>
    </xf>
    <xf numFmtId="2" fontId="4" fillId="2" borderId="42" xfId="0" applyNumberFormat="1" applyFont="1" applyFill="1" applyBorder="1" applyAlignment="1">
      <alignment horizontal="right" vertical="center" wrapText="1"/>
    </xf>
    <xf numFmtId="0" fontId="4" fillId="2" borderId="13" xfId="0" applyNumberFormat="1" applyFont="1" applyFill="1" applyBorder="1" applyAlignment="1">
      <alignment vertical="center"/>
    </xf>
    <xf numFmtId="1" fontId="4" fillId="2" borderId="16" xfId="0" applyNumberFormat="1" applyFont="1" applyFill="1" applyBorder="1" applyAlignment="1" quotePrefix="1">
      <alignment vertical="center"/>
    </xf>
    <xf numFmtId="0" fontId="4" fillId="2" borderId="16" xfId="0" applyNumberFormat="1" applyFont="1" applyFill="1" applyBorder="1" applyAlignment="1">
      <alignment vertical="center"/>
    </xf>
    <xf numFmtId="0" fontId="4" fillId="2" borderId="17" xfId="0" applyNumberFormat="1" applyFont="1" applyFill="1" applyBorder="1" applyAlignment="1">
      <alignment vertical="center"/>
    </xf>
    <xf numFmtId="0" fontId="14" fillId="2" borderId="11" xfId="0" applyFont="1" applyFill="1" applyBorder="1" applyAlignment="1">
      <alignment vertical="center"/>
    </xf>
    <xf numFmtId="0" fontId="3" fillId="2" borderId="20" xfId="0" applyFont="1" applyFill="1" applyBorder="1" applyAlignment="1">
      <alignment horizontal="right" vertical="center"/>
    </xf>
    <xf numFmtId="0" fontId="4" fillId="2" borderId="19" xfId="0" applyFont="1" applyFill="1" applyBorder="1" applyAlignment="1">
      <alignment horizontal="left" vertical="center"/>
    </xf>
    <xf numFmtId="0" fontId="3" fillId="2" borderId="12" xfId="0" applyFont="1" applyFill="1" applyBorder="1" applyAlignment="1">
      <alignment horizontal="left" vertical="center"/>
    </xf>
    <xf numFmtId="0" fontId="4" fillId="2" borderId="37" xfId="0" applyFont="1" applyFill="1" applyBorder="1" applyAlignment="1">
      <alignment horizontal="right" vertical="center"/>
    </xf>
    <xf numFmtId="0" fontId="3" fillId="2" borderId="43" xfId="0" applyFont="1" applyFill="1" applyBorder="1" applyAlignment="1">
      <alignment horizontal="left" vertical="center" wrapText="1"/>
    </xf>
    <xf numFmtId="0" fontId="4" fillId="2" borderId="44" xfId="0" applyFont="1" applyFill="1" applyBorder="1" applyAlignment="1">
      <alignment horizontal="right" vertical="center" wrapText="1"/>
    </xf>
    <xf numFmtId="0" fontId="3" fillId="2" borderId="45" xfId="0" applyFont="1" applyFill="1" applyBorder="1" applyAlignment="1">
      <alignment horizontal="center" vertical="center" wrapText="1"/>
    </xf>
    <xf numFmtId="0" fontId="4" fillId="2" borderId="46" xfId="0" applyFont="1" applyFill="1" applyBorder="1" applyAlignment="1">
      <alignment horizontal="right" vertical="center" wrapText="1"/>
    </xf>
    <xf numFmtId="0" fontId="3" fillId="2" borderId="47" xfId="0" applyFont="1" applyFill="1" applyBorder="1" applyAlignment="1">
      <alignment horizontal="center" vertical="center" wrapText="1"/>
    </xf>
    <xf numFmtId="0" fontId="4" fillId="2" borderId="48" xfId="0" applyFont="1" applyFill="1" applyBorder="1" applyAlignment="1">
      <alignment horizontal="right"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6" xfId="0" applyFont="1" applyFill="1" applyBorder="1" applyAlignment="1">
      <alignment horizontal="left" vertical="top"/>
    </xf>
    <xf numFmtId="0" fontId="4" fillId="2" borderId="20" xfId="0" applyFont="1" applyFill="1" applyBorder="1" applyAlignment="1">
      <alignment horizontal="left" vertical="top"/>
    </xf>
    <xf numFmtId="0" fontId="4" fillId="2" borderId="19" xfId="0" applyFont="1" applyFill="1" applyBorder="1" applyAlignment="1">
      <alignment horizontal="left" vertical="top"/>
    </xf>
    <xf numFmtId="0" fontId="4" fillId="2" borderId="11" xfId="0" applyFont="1" applyFill="1" applyBorder="1" applyAlignment="1">
      <alignment horizontal="center" wrapText="1"/>
    </xf>
    <xf numFmtId="0" fontId="4" fillId="2" borderId="49" xfId="0" applyFont="1" applyFill="1" applyBorder="1" applyAlignment="1">
      <alignment horizontal="left"/>
    </xf>
    <xf numFmtId="0" fontId="4" fillId="2" borderId="0" xfId="0" applyFont="1" applyFill="1" applyBorder="1" applyAlignment="1">
      <alignment horizontal="center" wrapText="1"/>
    </xf>
    <xf numFmtId="0" fontId="4" fillId="2" borderId="49" xfId="0" applyFont="1" applyFill="1" applyBorder="1" applyAlignment="1">
      <alignment horizontal="left" vertical="top"/>
    </xf>
    <xf numFmtId="0" fontId="4" fillId="2" borderId="50" xfId="0" applyFont="1" applyFill="1" applyBorder="1" applyAlignment="1">
      <alignment horizontal="left" vertical="top"/>
    </xf>
    <xf numFmtId="0" fontId="4" fillId="0" borderId="2"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15" fontId="4" fillId="0" borderId="2" xfId="0" applyNumberFormat="1" applyFont="1" applyFill="1" applyBorder="1" applyAlignment="1" applyProtection="1">
      <alignment horizontal="center" vertical="center"/>
      <protection locked="0"/>
    </xf>
    <xf numFmtId="1" fontId="3" fillId="0" borderId="2"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right" vertical="center"/>
      <protection locked="0"/>
    </xf>
    <xf numFmtId="0" fontId="4" fillId="0" borderId="15" xfId="0" applyFont="1" applyFill="1" applyBorder="1" applyAlignment="1" applyProtection="1">
      <alignment horizontal="left" vertical="center" wrapText="1"/>
      <protection locked="0"/>
    </xf>
    <xf numFmtId="1" fontId="4" fillId="0" borderId="15"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right" vertical="center" wrapText="1"/>
      <protection locked="0"/>
    </xf>
    <xf numFmtId="0" fontId="4" fillId="0" borderId="16" xfId="0"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 fontId="4" fillId="0" borderId="1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vertical="center"/>
      <protection locked="0"/>
    </xf>
    <xf numFmtId="0" fontId="4" fillId="0" borderId="17" xfId="0" applyFont="1" applyFill="1" applyBorder="1" applyAlignment="1" applyProtection="1">
      <alignment horizontal="left" vertical="center" wrapText="1"/>
      <protection locked="0"/>
    </xf>
    <xf numFmtId="1" fontId="4" fillId="0" borderId="17"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locked="0"/>
    </xf>
    <xf numFmtId="15" fontId="4" fillId="0" borderId="15" xfId="0" applyNumberFormat="1" applyFont="1" applyFill="1" applyBorder="1" applyAlignment="1" applyProtection="1">
      <alignment horizontal="center" vertical="center" wrapText="1"/>
      <protection locked="0"/>
    </xf>
    <xf numFmtId="9" fontId="4" fillId="0" borderId="15" xfId="0" applyNumberFormat="1" applyFont="1" applyFill="1" applyBorder="1" applyAlignment="1" applyProtection="1">
      <alignment horizontal="center" vertical="center" wrapText="1"/>
      <protection locked="0"/>
    </xf>
    <xf numFmtId="15" fontId="4" fillId="0" borderId="16" xfId="0" applyNumberFormat="1" applyFont="1" applyFill="1" applyBorder="1" applyAlignment="1" applyProtection="1">
      <alignment horizontal="center" vertical="center" wrapText="1"/>
      <protection locked="0"/>
    </xf>
    <xf numFmtId="9" fontId="4" fillId="0" borderId="16"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9" fontId="4" fillId="0" borderId="17" xfId="0" applyNumberFormat="1" applyFont="1" applyFill="1" applyBorder="1" applyAlignment="1" applyProtection="1">
      <alignment horizontal="center" vertical="center" wrapText="1"/>
      <protection locked="0"/>
    </xf>
    <xf numFmtId="15" fontId="4" fillId="0" borderId="51" xfId="0" applyNumberFormat="1" applyFont="1" applyFill="1" applyBorder="1" applyAlignment="1" applyProtection="1">
      <alignment horizontal="center" vertical="center" wrapText="1"/>
      <protection locked="0"/>
    </xf>
    <xf numFmtId="9" fontId="4" fillId="0" borderId="51" xfId="0" applyNumberFormat="1"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9" fontId="4" fillId="0" borderId="52"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left" vertical="center"/>
      <protection locked="0"/>
    </xf>
    <xf numFmtId="0" fontId="4" fillId="0" borderId="15" xfId="0" applyFont="1" applyFill="1" applyBorder="1" applyAlignment="1" applyProtection="1">
      <alignment horizontal="center" vertical="center"/>
      <protection locked="0"/>
    </xf>
    <xf numFmtId="15" fontId="4" fillId="0" borderId="15"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left" vertical="center"/>
      <protection locked="0"/>
    </xf>
    <xf numFmtId="0" fontId="4" fillId="0" borderId="13" xfId="0" applyFont="1" applyFill="1" applyBorder="1" applyAlignment="1" applyProtection="1">
      <alignment horizontal="center" vertical="center"/>
      <protection locked="0"/>
    </xf>
    <xf numFmtId="15" fontId="4" fillId="0" borderId="13"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center" vertical="center"/>
      <protection locked="0"/>
    </xf>
    <xf numFmtId="15" fontId="4" fillId="0" borderId="16"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left" vertical="center"/>
      <protection locked="0"/>
    </xf>
    <xf numFmtId="0" fontId="4" fillId="0" borderId="17" xfId="0" applyFont="1" applyFill="1" applyBorder="1" applyAlignment="1" applyProtection="1">
      <alignment horizontal="center" vertical="center"/>
      <protection locked="0"/>
    </xf>
    <xf numFmtId="15" fontId="4" fillId="0" borderId="17" xfId="0" applyNumberFormat="1"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right" vertical="center" wrapText="1"/>
      <protection locked="0"/>
    </xf>
    <xf numFmtId="0" fontId="4" fillId="0" borderId="13" xfId="0" applyFont="1" applyFill="1" applyBorder="1" applyAlignment="1" applyProtection="1">
      <alignment horizontal="left" vertical="center" wrapText="1"/>
      <protection locked="0"/>
    </xf>
    <xf numFmtId="0" fontId="4" fillId="0" borderId="54" xfId="0" applyFont="1" applyFill="1" applyBorder="1" applyAlignment="1" applyProtection="1">
      <alignment horizontal="center" vertical="center" wrapText="1"/>
      <protection locked="0"/>
    </xf>
    <xf numFmtId="15" fontId="4" fillId="0" borderId="13" xfId="0" applyNumberFormat="1" applyFont="1" applyFill="1" applyBorder="1" applyAlignment="1" applyProtection="1">
      <alignment horizontal="center" vertical="center" wrapText="1"/>
      <protection locked="0"/>
    </xf>
    <xf numFmtId="15" fontId="4" fillId="0" borderId="17" xfId="0" applyNumberFormat="1" applyFont="1" applyFill="1" applyBorder="1" applyAlignment="1" applyProtection="1">
      <alignment horizontal="center" vertical="center" wrapText="1"/>
      <protection locked="0"/>
    </xf>
    <xf numFmtId="0" fontId="4" fillId="0" borderId="15"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3" xfId="0" applyFont="1" applyFill="1" applyBorder="1" applyAlignment="1" applyProtection="1">
      <alignment horizontal="right" vertical="center"/>
      <protection locked="0"/>
    </xf>
    <xf numFmtId="0" fontId="4" fillId="0" borderId="15"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 fillId="0" borderId="30"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4" fillId="0" borderId="16"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3" fillId="2" borderId="20" xfId="0" applyFont="1" applyFill="1" applyBorder="1" applyAlignment="1">
      <alignment vertical="center" wrapText="1"/>
    </xf>
    <xf numFmtId="0" fontId="4" fillId="2" borderId="20" xfId="0" applyFont="1" applyFill="1" applyBorder="1" applyAlignment="1">
      <alignment vertical="center" wrapText="1"/>
    </xf>
    <xf numFmtId="0" fontId="4" fillId="2" borderId="19" xfId="0" applyFont="1" applyFill="1" applyBorder="1" applyAlignment="1">
      <alignment vertical="center" wrapText="1"/>
    </xf>
    <xf numFmtId="0" fontId="8" fillId="0" borderId="55" xfId="0" applyFont="1" applyBorder="1" applyAlignment="1" applyProtection="1">
      <alignment vertical="center"/>
      <protection locked="0"/>
    </xf>
    <xf numFmtId="0" fontId="4" fillId="2" borderId="15" xfId="0" applyFont="1" applyFill="1" applyBorder="1" applyAlignment="1">
      <alignment horizontal="left"/>
    </xf>
    <xf numFmtId="0" fontId="4" fillId="2" borderId="16" xfId="0" applyFont="1" applyFill="1" applyBorder="1" applyAlignment="1">
      <alignment horizontal="left"/>
    </xf>
    <xf numFmtId="0" fontId="6" fillId="2" borderId="17" xfId="0" applyFont="1" applyFill="1" applyBorder="1" applyAlignment="1">
      <alignment horizontal="left"/>
    </xf>
    <xf numFmtId="179" fontId="4" fillId="2" borderId="39" xfId="0" applyNumberFormat="1" applyFont="1" applyFill="1" applyBorder="1" applyAlignment="1">
      <alignment/>
    </xf>
    <xf numFmtId="179" fontId="4" fillId="2" borderId="40" xfId="0" applyNumberFormat="1" applyFont="1" applyFill="1" applyBorder="1" applyAlignment="1">
      <alignment/>
    </xf>
    <xf numFmtId="179" fontId="6" fillId="2" borderId="42" xfId="0" applyNumberFormat="1" applyFont="1" applyFill="1" applyBorder="1" applyAlignment="1">
      <alignment/>
    </xf>
    <xf numFmtId="0" fontId="4" fillId="2" borderId="1" xfId="0" applyFont="1" applyFill="1" applyBorder="1" applyAlignment="1">
      <alignment vertical="center" wrapText="1"/>
    </xf>
    <xf numFmtId="0" fontId="4" fillId="0" borderId="1" xfId="0" applyFont="1" applyFill="1" applyBorder="1" applyAlignment="1" applyProtection="1">
      <alignment vertical="center"/>
      <protection locked="0"/>
    </xf>
    <xf numFmtId="0" fontId="4" fillId="2" borderId="11" xfId="0" applyFont="1" applyFill="1" applyBorder="1" applyAlignment="1">
      <alignment horizontal="right" vertical="top"/>
    </xf>
    <xf numFmtId="0" fontId="4" fillId="0" borderId="16"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3" fillId="2" borderId="0"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10" fillId="2" borderId="36" xfId="0" applyFont="1" applyFill="1" applyBorder="1" applyAlignment="1">
      <alignment horizontal="center"/>
    </xf>
    <xf numFmtId="0" fontId="11" fillId="0" borderId="20" xfId="0" applyFont="1" applyBorder="1" applyAlignment="1">
      <alignment/>
    </xf>
    <xf numFmtId="0" fontId="11" fillId="0" borderId="19" xfId="0" applyFont="1" applyBorder="1" applyAlignment="1">
      <alignment/>
    </xf>
    <xf numFmtId="0" fontId="3" fillId="2" borderId="11" xfId="0" applyFont="1" applyFill="1" applyBorder="1" applyAlignment="1">
      <alignment horizontal="left" vertical="center"/>
    </xf>
    <xf numFmtId="0" fontId="4" fillId="0" borderId="33" xfId="0" applyFont="1" applyBorder="1" applyAlignment="1">
      <alignment vertical="center" wrapText="1"/>
    </xf>
    <xf numFmtId="0" fontId="3" fillId="2" borderId="34" xfId="0" applyFont="1" applyFill="1" applyBorder="1" applyAlignment="1">
      <alignment vertical="center" wrapText="1"/>
    </xf>
    <xf numFmtId="0" fontId="4" fillId="0" borderId="12" xfId="0" applyFont="1" applyBorder="1" applyAlignment="1">
      <alignment vertical="center"/>
    </xf>
    <xf numFmtId="0" fontId="4" fillId="0" borderId="37" xfId="0" applyFont="1" applyBorder="1" applyAlignment="1">
      <alignment vertical="center"/>
    </xf>
    <xf numFmtId="0" fontId="6" fillId="2" borderId="11" xfId="0" applyFont="1" applyFill="1" applyBorder="1" applyAlignment="1">
      <alignment horizontal="left" wrapText="1"/>
    </xf>
    <xf numFmtId="0" fontId="4" fillId="0" borderId="0" xfId="0" applyFont="1" applyBorder="1" applyAlignment="1">
      <alignment/>
    </xf>
    <xf numFmtId="0" fontId="4" fillId="0" borderId="33" xfId="0" applyFont="1" applyBorder="1" applyAlignment="1">
      <alignment/>
    </xf>
    <xf numFmtId="0" fontId="4" fillId="2" borderId="56"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6" fillId="2" borderId="11" xfId="0" applyFont="1" applyFill="1" applyBorder="1" applyAlignment="1">
      <alignment vertical="center" wrapText="1"/>
    </xf>
    <xf numFmtId="0" fontId="4" fillId="0" borderId="0" xfId="0" applyFont="1" applyBorder="1" applyAlignment="1">
      <alignment vertical="center"/>
    </xf>
    <xf numFmtId="0" fontId="4" fillId="0" borderId="33" xfId="0" applyFont="1" applyBorder="1" applyAlignment="1">
      <alignment vertical="center"/>
    </xf>
    <xf numFmtId="0" fontId="4" fillId="2" borderId="11" xfId="0" applyFont="1" applyFill="1" applyBorder="1" applyAlignment="1">
      <alignment vertical="center" wrapText="1"/>
    </xf>
    <xf numFmtId="0" fontId="4" fillId="0" borderId="0" xfId="0" applyFont="1" applyBorder="1" applyAlignment="1">
      <alignment vertical="center" wrapText="1"/>
    </xf>
    <xf numFmtId="0" fontId="0" fillId="0" borderId="0" xfId="0" applyFont="1" applyBorder="1" applyAlignment="1">
      <alignment vertical="center" wrapText="1"/>
    </xf>
    <xf numFmtId="0" fontId="0" fillId="0" borderId="33" xfId="0" applyFont="1" applyBorder="1" applyAlignment="1">
      <alignment vertical="center" wrapText="1"/>
    </xf>
    <xf numFmtId="0" fontId="4" fillId="2" borderId="11" xfId="0" applyFont="1" applyFill="1" applyBorder="1" applyAlignment="1">
      <alignment vertical="center"/>
    </xf>
    <xf numFmtId="0" fontId="4" fillId="2" borderId="0" xfId="0" applyFont="1" applyFill="1" applyBorder="1" applyAlignment="1">
      <alignment vertical="center"/>
    </xf>
    <xf numFmtId="0" fontId="4" fillId="2" borderId="33" xfId="0" applyFont="1" applyFill="1" applyBorder="1" applyAlignment="1">
      <alignment vertical="center"/>
    </xf>
    <xf numFmtId="0" fontId="4" fillId="0" borderId="59" xfId="0" applyFont="1" applyFill="1" applyBorder="1" applyAlignment="1" applyProtection="1">
      <alignment horizontal="left" vertical="center" wrapText="1"/>
      <protection locked="0"/>
    </xf>
    <xf numFmtId="0" fontId="4" fillId="0" borderId="51"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3" fillId="2" borderId="0" xfId="0" applyFont="1" applyFill="1" applyBorder="1" applyAlignment="1">
      <alignment vertical="center"/>
    </xf>
    <xf numFmtId="0" fontId="4" fillId="2" borderId="0" xfId="0" applyFont="1" applyFill="1" applyBorder="1" applyAlignment="1">
      <alignment vertical="center" wrapText="1"/>
    </xf>
    <xf numFmtId="0" fontId="4" fillId="2" borderId="33" xfId="0" applyFont="1" applyFill="1" applyBorder="1" applyAlignment="1">
      <alignment vertical="center" wrapText="1"/>
    </xf>
    <xf numFmtId="0" fontId="8" fillId="2" borderId="11" xfId="0" applyFont="1" applyFill="1" applyBorder="1" applyAlignment="1">
      <alignment horizontal="center" vertical="center" wrapText="1"/>
    </xf>
    <xf numFmtId="0" fontId="9" fillId="0" borderId="0" xfId="0" applyFont="1" applyBorder="1" applyAlignment="1">
      <alignment vertical="center"/>
    </xf>
    <xf numFmtId="0" fontId="9" fillId="0" borderId="33" xfId="0" applyFont="1" applyBorder="1" applyAlignment="1">
      <alignment vertical="center"/>
    </xf>
    <xf numFmtId="0" fontId="0" fillId="0" borderId="0" xfId="0" applyFont="1" applyAlignment="1">
      <alignment/>
    </xf>
    <xf numFmtId="0" fontId="0" fillId="0" borderId="61" xfId="0" applyFont="1" applyBorder="1" applyAlignment="1">
      <alignment/>
    </xf>
    <xf numFmtId="0" fontId="4" fillId="2" borderId="32" xfId="0" applyFont="1" applyFill="1" applyBorder="1" applyAlignment="1">
      <alignment horizontal="left" vertical="center"/>
    </xf>
    <xf numFmtId="0" fontId="4" fillId="2" borderId="9" xfId="0" applyFont="1" applyFill="1" applyBorder="1" applyAlignment="1">
      <alignment horizontal="left" vertical="center"/>
    </xf>
    <xf numFmtId="0" fontId="3" fillId="2" borderId="11" xfId="0" applyFont="1" applyFill="1" applyBorder="1" applyAlignment="1">
      <alignment horizontal="left" vertical="center" wrapText="1"/>
    </xf>
    <xf numFmtId="0" fontId="4" fillId="2" borderId="0" xfId="0" applyFont="1" applyFill="1" applyBorder="1" applyAlignment="1">
      <alignment horizontal="left" vertical="center"/>
    </xf>
    <xf numFmtId="0" fontId="3" fillId="2" borderId="36" xfId="0" applyFont="1" applyFill="1" applyBorder="1" applyAlignment="1">
      <alignment vertical="center"/>
    </xf>
    <xf numFmtId="0" fontId="4" fillId="2" borderId="20" xfId="0" applyFont="1" applyFill="1" applyBorder="1" applyAlignment="1">
      <alignment vertical="center"/>
    </xf>
    <xf numFmtId="0" fontId="4" fillId="2" borderId="19" xfId="0" applyFont="1" applyFill="1" applyBorder="1" applyAlignment="1">
      <alignment vertical="center"/>
    </xf>
    <xf numFmtId="0" fontId="4" fillId="0" borderId="62"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3" fillId="2" borderId="11" xfId="0" applyFont="1" applyFill="1" applyBorder="1" applyAlignment="1">
      <alignment horizontal="left" wrapText="1"/>
    </xf>
    <xf numFmtId="0" fontId="3" fillId="2" borderId="0" xfId="0" applyFont="1" applyFill="1" applyBorder="1" applyAlignment="1">
      <alignment horizontal="left" wrapText="1"/>
    </xf>
    <xf numFmtId="0" fontId="3" fillId="2" borderId="33" xfId="0" applyFont="1" applyFill="1" applyBorder="1" applyAlignment="1">
      <alignment horizontal="left" wrapText="1"/>
    </xf>
    <xf numFmtId="0" fontId="4" fillId="0" borderId="32"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4" fillId="2" borderId="62"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3" fillId="2" borderId="0" xfId="0" applyFont="1" applyFill="1" applyBorder="1" applyAlignment="1">
      <alignment horizontal="right" vertical="center"/>
    </xf>
    <xf numFmtId="0" fontId="4" fillId="2" borderId="1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1"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25"/>
  <sheetViews>
    <sheetView zoomScale="90" zoomScaleNormal="90" zoomScaleSheetLayoutView="90" workbookViewId="0" topLeftCell="A1">
      <selection activeCell="G10" sqref="G10"/>
    </sheetView>
  </sheetViews>
  <sheetFormatPr defaultColWidth="9.140625" defaultRowHeight="12.75"/>
  <cols>
    <col min="1" max="1" width="18.8515625" style="12" customWidth="1"/>
    <col min="2" max="2" width="18.8515625" style="165" customWidth="1"/>
    <col min="3" max="6" width="18.8515625" style="18" customWidth="1"/>
    <col min="7" max="7" width="13.421875" style="44" customWidth="1"/>
    <col min="8" max="8" width="1.8515625" style="18" bestFit="1" customWidth="1"/>
    <col min="9" max="9" width="2.421875" style="18" bestFit="1" customWidth="1"/>
    <col min="10" max="10" width="5.7109375" style="18" bestFit="1" customWidth="1"/>
    <col min="11" max="11" width="2.421875" style="18" bestFit="1" customWidth="1"/>
    <col min="12" max="12" width="5.7109375" style="18" bestFit="1" customWidth="1"/>
    <col min="13" max="16384" width="9.140625" style="18" customWidth="1"/>
  </cols>
  <sheetData>
    <row r="1" spans="1:7" ht="42.75" customHeight="1">
      <c r="A1" s="276" t="s">
        <v>80</v>
      </c>
      <c r="B1" s="277"/>
      <c r="C1" s="277"/>
      <c r="D1" s="277"/>
      <c r="E1" s="277"/>
      <c r="F1" s="278"/>
      <c r="G1" s="18"/>
    </row>
    <row r="2" spans="1:7" ht="18" customHeight="1">
      <c r="A2" s="313" t="s">
        <v>143</v>
      </c>
      <c r="B2" s="314"/>
      <c r="C2" s="314"/>
      <c r="D2" s="314"/>
      <c r="E2" s="314"/>
      <c r="F2" s="315"/>
      <c r="G2" s="18"/>
    </row>
    <row r="3" spans="1:6" ht="18">
      <c r="A3" s="313" t="s">
        <v>212</v>
      </c>
      <c r="B3" s="316"/>
      <c r="C3" s="316"/>
      <c r="D3" s="316"/>
      <c r="E3" s="317"/>
      <c r="F3" s="260" t="s">
        <v>211</v>
      </c>
    </row>
    <row r="4" spans="1:6" ht="15.75">
      <c r="A4" s="113"/>
      <c r="B4" s="10"/>
      <c r="C4" s="11"/>
      <c r="D4" s="11"/>
      <c r="E4" s="11"/>
      <c r="F4" s="104"/>
    </row>
    <row r="5" spans="1:6" ht="30" customHeight="1">
      <c r="A5" s="113"/>
      <c r="B5" s="3" t="s">
        <v>40</v>
      </c>
      <c r="C5" s="199"/>
      <c r="D5" s="4" t="s">
        <v>218</v>
      </c>
      <c r="E5" s="200"/>
      <c r="F5" s="104"/>
    </row>
    <row r="6" spans="1:6" ht="15">
      <c r="A6" s="113"/>
      <c r="B6" s="25"/>
      <c r="C6" s="146"/>
      <c r="D6" s="11" t="s">
        <v>15</v>
      </c>
      <c r="E6" s="11"/>
      <c r="F6" s="104"/>
    </row>
    <row r="7" spans="1:6" ht="30" customHeight="1">
      <c r="A7" s="113"/>
      <c r="B7" s="3" t="s">
        <v>78</v>
      </c>
      <c r="C7" s="201"/>
      <c r="D7" s="11"/>
      <c r="E7" s="11"/>
      <c r="F7" s="104"/>
    </row>
    <row r="8" spans="1:6" ht="15.75">
      <c r="A8" s="113"/>
      <c r="B8" s="10"/>
      <c r="C8" s="11"/>
      <c r="D8" s="11"/>
      <c r="E8" s="11"/>
      <c r="F8" s="104"/>
    </row>
    <row r="9" spans="1:6" ht="15.75">
      <c r="A9" s="109" t="s">
        <v>104</v>
      </c>
      <c r="B9" s="13"/>
      <c r="C9" s="11"/>
      <c r="D9" s="11"/>
      <c r="E9" s="11"/>
      <c r="F9" s="104"/>
    </row>
    <row r="10" spans="1:6" ht="90" customHeight="1">
      <c r="A10" s="299" t="s">
        <v>219</v>
      </c>
      <c r="B10" s="297"/>
      <c r="C10" s="297"/>
      <c r="D10" s="297"/>
      <c r="E10" s="297"/>
      <c r="F10" s="298"/>
    </row>
    <row r="11" spans="1:6" ht="129.75" customHeight="1">
      <c r="A11" s="299" t="s">
        <v>220</v>
      </c>
      <c r="B11" s="300"/>
      <c r="C11" s="300"/>
      <c r="D11" s="300"/>
      <c r="E11" s="300"/>
      <c r="F11" s="280"/>
    </row>
    <row r="12" spans="1:6" ht="15">
      <c r="A12" s="111"/>
      <c r="B12" s="35"/>
      <c r="C12" s="35"/>
      <c r="D12" s="35"/>
      <c r="E12" s="35"/>
      <c r="F12" s="112"/>
    </row>
    <row r="13" spans="1:6" ht="15">
      <c r="A13" s="177" t="s">
        <v>56</v>
      </c>
      <c r="B13" s="11"/>
      <c r="C13" s="11"/>
      <c r="D13" s="11"/>
      <c r="E13" s="11"/>
      <c r="F13" s="104"/>
    </row>
    <row r="14" spans="1:6" ht="7.5" customHeight="1">
      <c r="A14" s="113"/>
      <c r="B14" s="11"/>
      <c r="C14" s="11"/>
      <c r="D14" s="11"/>
      <c r="E14" s="11"/>
      <c r="F14" s="104"/>
    </row>
    <row r="15" spans="1:6" ht="15.75">
      <c r="A15" s="279" t="s">
        <v>76</v>
      </c>
      <c r="B15" s="297"/>
      <c r="C15" s="297"/>
      <c r="D15" s="297"/>
      <c r="E15" s="297"/>
      <c r="F15" s="298"/>
    </row>
    <row r="16" spans="1:6" ht="7.5" customHeight="1" thickBot="1">
      <c r="A16" s="113"/>
      <c r="B16" s="13"/>
      <c r="C16" s="11"/>
      <c r="D16" s="11"/>
      <c r="E16" s="11"/>
      <c r="F16" s="104"/>
    </row>
    <row r="17" spans="1:7" s="15" customFormat="1" ht="44.25" customHeight="1" thickBot="1">
      <c r="A17" s="114"/>
      <c r="B17" s="89" t="s">
        <v>2</v>
      </c>
      <c r="C17" s="79" t="s">
        <v>1</v>
      </c>
      <c r="D17" s="79" t="s">
        <v>0</v>
      </c>
      <c r="E17" s="80" t="s">
        <v>105</v>
      </c>
      <c r="F17" s="115"/>
      <c r="G17" s="14"/>
    </row>
    <row r="18" spans="1:6" ht="15.75">
      <c r="A18" s="113"/>
      <c r="B18" s="182" t="s">
        <v>204</v>
      </c>
      <c r="C18" s="86" t="s">
        <v>108</v>
      </c>
      <c r="D18" s="183">
        <v>40</v>
      </c>
      <c r="E18" s="188" t="s">
        <v>200</v>
      </c>
      <c r="F18" s="104"/>
    </row>
    <row r="19" spans="1:6" ht="15.75">
      <c r="A19" s="113"/>
      <c r="B19" s="184"/>
      <c r="C19" s="87" t="s">
        <v>107</v>
      </c>
      <c r="D19" s="185">
        <v>30</v>
      </c>
      <c r="E19" s="189" t="s">
        <v>200</v>
      </c>
      <c r="F19" s="104"/>
    </row>
    <row r="20" spans="1:6" ht="16.5" thickBot="1">
      <c r="A20" s="113"/>
      <c r="B20" s="186"/>
      <c r="C20" s="88" t="s">
        <v>106</v>
      </c>
      <c r="D20" s="187">
        <v>30</v>
      </c>
      <c r="E20" s="190" t="s">
        <v>200</v>
      </c>
      <c r="F20" s="104"/>
    </row>
    <row r="21" spans="1:6" ht="15.75">
      <c r="A21" s="113"/>
      <c r="B21" s="81" t="s">
        <v>52</v>
      </c>
      <c r="C21" s="86" t="s">
        <v>108</v>
      </c>
      <c r="D21" s="16">
        <v>45</v>
      </c>
      <c r="E21" s="20">
        <v>30</v>
      </c>
      <c r="F21" s="104"/>
    </row>
    <row r="22" spans="1:6" ht="15">
      <c r="A22" s="113"/>
      <c r="B22" s="82"/>
      <c r="C22" s="87" t="s">
        <v>107</v>
      </c>
      <c r="D22" s="17">
        <v>45</v>
      </c>
      <c r="E22" s="21">
        <v>60</v>
      </c>
      <c r="F22" s="104"/>
    </row>
    <row r="23" spans="1:6" ht="15.75" thickBot="1">
      <c r="A23" s="113"/>
      <c r="B23" s="83"/>
      <c r="C23" s="88" t="s">
        <v>106</v>
      </c>
      <c r="D23" s="19">
        <v>10</v>
      </c>
      <c r="E23" s="22">
        <v>10</v>
      </c>
      <c r="F23" s="104"/>
    </row>
    <row r="24" spans="1:6" ht="31.5">
      <c r="A24" s="113"/>
      <c r="B24" s="84" t="s">
        <v>79</v>
      </c>
      <c r="C24" s="86" t="s">
        <v>108</v>
      </c>
      <c r="D24" s="16">
        <v>45</v>
      </c>
      <c r="E24" s="20">
        <v>30</v>
      </c>
      <c r="F24" s="104"/>
    </row>
    <row r="25" spans="1:6" ht="15">
      <c r="A25" s="113"/>
      <c r="B25" s="31"/>
      <c r="C25" s="87" t="s">
        <v>107</v>
      </c>
      <c r="D25" s="17">
        <v>45</v>
      </c>
      <c r="E25" s="21">
        <v>60</v>
      </c>
      <c r="F25" s="104"/>
    </row>
    <row r="26" spans="1:6" ht="15.75" thickBot="1">
      <c r="A26" s="113"/>
      <c r="B26" s="83"/>
      <c r="C26" s="88" t="s">
        <v>106</v>
      </c>
      <c r="D26" s="19">
        <v>10</v>
      </c>
      <c r="E26" s="22">
        <v>10</v>
      </c>
      <c r="F26" s="104"/>
    </row>
    <row r="27" spans="1:6" ht="15.75">
      <c r="A27" s="113"/>
      <c r="B27" s="84" t="s">
        <v>205</v>
      </c>
      <c r="C27" s="86" t="s">
        <v>108</v>
      </c>
      <c r="D27" s="16">
        <v>45</v>
      </c>
      <c r="E27" s="20">
        <v>30</v>
      </c>
      <c r="F27" s="104"/>
    </row>
    <row r="28" spans="1:6" ht="15">
      <c r="A28" s="113"/>
      <c r="B28" s="31"/>
      <c r="C28" s="87" t="s">
        <v>107</v>
      </c>
      <c r="D28" s="17">
        <v>45</v>
      </c>
      <c r="E28" s="21">
        <v>60</v>
      </c>
      <c r="F28" s="104"/>
    </row>
    <row r="29" spans="1:6" ht="15.75" thickBot="1">
      <c r="A29" s="113"/>
      <c r="B29" s="83"/>
      <c r="C29" s="88" t="s">
        <v>106</v>
      </c>
      <c r="D29" s="19">
        <v>10</v>
      </c>
      <c r="E29" s="22">
        <v>10</v>
      </c>
      <c r="F29" s="104"/>
    </row>
    <row r="30" spans="1:6" ht="15.75">
      <c r="A30" s="113"/>
      <c r="B30" s="85" t="s">
        <v>110</v>
      </c>
      <c r="C30" s="86" t="s">
        <v>108</v>
      </c>
      <c r="D30" s="16">
        <v>55</v>
      </c>
      <c r="E30" s="20">
        <v>22</v>
      </c>
      <c r="F30" s="104"/>
    </row>
    <row r="31" spans="1:6" ht="15">
      <c r="A31" s="113"/>
      <c r="B31" s="31"/>
      <c r="C31" s="87" t="s">
        <v>107</v>
      </c>
      <c r="D31" s="17">
        <v>37</v>
      </c>
      <c r="E31" s="21">
        <v>70</v>
      </c>
      <c r="F31" s="104"/>
    </row>
    <row r="32" spans="1:6" ht="15.75" thickBot="1">
      <c r="A32" s="113"/>
      <c r="B32" s="83"/>
      <c r="C32" s="88" t="s">
        <v>106</v>
      </c>
      <c r="D32" s="19">
        <v>8</v>
      </c>
      <c r="E32" s="22">
        <v>8</v>
      </c>
      <c r="F32" s="104"/>
    </row>
    <row r="33" spans="1:6" ht="15.75">
      <c r="A33" s="113"/>
      <c r="B33" s="85" t="s">
        <v>206</v>
      </c>
      <c r="C33" s="86" t="s">
        <v>108</v>
      </c>
      <c r="D33" s="287" t="s">
        <v>207</v>
      </c>
      <c r="E33" s="288"/>
      <c r="F33" s="104"/>
    </row>
    <row r="34" spans="1:6" ht="15">
      <c r="A34" s="113"/>
      <c r="B34" s="31"/>
      <c r="C34" s="87" t="s">
        <v>107</v>
      </c>
      <c r="D34" s="289"/>
      <c r="E34" s="290"/>
      <c r="F34" s="104"/>
    </row>
    <row r="35" spans="1:6" ht="15.75" thickBot="1">
      <c r="A35" s="113"/>
      <c r="B35" s="83"/>
      <c r="C35" s="88" t="s">
        <v>106</v>
      </c>
      <c r="D35" s="291"/>
      <c r="E35" s="292"/>
      <c r="F35" s="104"/>
    </row>
    <row r="36" spans="1:6" ht="7.5" customHeight="1">
      <c r="A36" s="113"/>
      <c r="B36" s="13"/>
      <c r="C36" s="11"/>
      <c r="D36" s="11"/>
      <c r="E36" s="11"/>
      <c r="F36" s="104"/>
    </row>
    <row r="37" spans="1:6" ht="15.75">
      <c r="A37" s="109" t="s">
        <v>65</v>
      </c>
      <c r="B37" s="13"/>
      <c r="C37" s="11"/>
      <c r="D37" s="11"/>
      <c r="E37" s="11"/>
      <c r="F37" s="104"/>
    </row>
    <row r="38" spans="1:6" ht="7.5" customHeight="1">
      <c r="A38" s="109"/>
      <c r="B38" s="13"/>
      <c r="C38" s="11"/>
      <c r="D38" s="11"/>
      <c r="E38" s="11"/>
      <c r="F38" s="104"/>
    </row>
    <row r="39" spans="1:6" ht="127.5" customHeight="1" thickBot="1">
      <c r="A39" s="281" t="s">
        <v>221</v>
      </c>
      <c r="B39" s="282"/>
      <c r="C39" s="282"/>
      <c r="D39" s="282"/>
      <c r="E39" s="282"/>
      <c r="F39" s="283"/>
    </row>
    <row r="40" spans="1:6" ht="7.5" customHeight="1">
      <c r="A40" s="147"/>
      <c r="B40" s="257"/>
      <c r="C40" s="258"/>
      <c r="D40" s="258"/>
      <c r="E40" s="258"/>
      <c r="F40" s="259"/>
    </row>
    <row r="41" spans="1:6" ht="34.5" customHeight="1">
      <c r="A41" s="293" t="s">
        <v>213</v>
      </c>
      <c r="B41" s="294"/>
      <c r="C41" s="294"/>
      <c r="D41" s="294" t="s">
        <v>214</v>
      </c>
      <c r="E41" s="294"/>
      <c r="F41" s="295"/>
    </row>
    <row r="42" spans="1:6" ht="15.75">
      <c r="A42" s="113"/>
      <c r="B42" s="24" t="s">
        <v>115</v>
      </c>
      <c r="C42" s="202"/>
      <c r="D42" s="24" t="s">
        <v>115</v>
      </c>
      <c r="E42" s="202"/>
      <c r="F42" s="104"/>
    </row>
    <row r="43" spans="1:8" s="12" customFormat="1" ht="7.5" customHeight="1">
      <c r="A43" s="113"/>
      <c r="B43" s="25"/>
      <c r="C43" s="8"/>
      <c r="D43" s="25"/>
      <c r="E43" s="8"/>
      <c r="F43" s="104"/>
      <c r="G43" s="38"/>
      <c r="H43" s="18"/>
    </row>
    <row r="44" spans="1:6" ht="15.75">
      <c r="A44" s="113"/>
      <c r="B44" s="24" t="s">
        <v>114</v>
      </c>
      <c r="C44" s="202"/>
      <c r="D44" s="24" t="s">
        <v>114</v>
      </c>
      <c r="E44" s="202"/>
      <c r="F44" s="104"/>
    </row>
    <row r="45" spans="1:8" s="12" customFormat="1" ht="7.5" customHeight="1">
      <c r="A45" s="113"/>
      <c r="B45" s="25"/>
      <c r="C45" s="8"/>
      <c r="D45" s="25"/>
      <c r="E45" s="8"/>
      <c r="F45" s="104"/>
      <c r="G45" s="38"/>
      <c r="H45" s="18"/>
    </row>
    <row r="46" spans="1:6" ht="15.75">
      <c r="A46" s="113"/>
      <c r="B46" s="24" t="s">
        <v>41</v>
      </c>
      <c r="C46" s="202"/>
      <c r="D46" s="24" t="s">
        <v>41</v>
      </c>
      <c r="E46" s="202"/>
      <c r="F46" s="104"/>
    </row>
    <row r="47" spans="1:6" ht="6.75" customHeight="1">
      <c r="A47" s="113"/>
      <c r="B47" s="13"/>
      <c r="C47" s="11"/>
      <c r="D47" s="11"/>
      <c r="E47" s="11"/>
      <c r="F47" s="104"/>
    </row>
    <row r="48" spans="1:6" ht="15.75">
      <c r="A48" s="114" t="s">
        <v>42</v>
      </c>
      <c r="B48" s="11"/>
      <c r="C48" s="11"/>
      <c r="D48" s="11"/>
      <c r="E48" s="11"/>
      <c r="F48" s="104"/>
    </row>
    <row r="49" spans="1:6" ht="75" customHeight="1">
      <c r="A49" s="284" t="s">
        <v>222</v>
      </c>
      <c r="B49" s="285"/>
      <c r="C49" s="285"/>
      <c r="D49" s="285"/>
      <c r="E49" s="285"/>
      <c r="F49" s="286"/>
    </row>
    <row r="50" spans="1:6" ht="16.5" thickBot="1">
      <c r="A50" s="113"/>
      <c r="B50" s="23"/>
      <c r="C50" s="11"/>
      <c r="D50" s="11"/>
      <c r="E50" s="11"/>
      <c r="F50" s="104"/>
    </row>
    <row r="51" spans="1:7" ht="45.75" thickBot="1">
      <c r="A51" s="27" t="s">
        <v>66</v>
      </c>
      <c r="B51" s="28" t="s">
        <v>116</v>
      </c>
      <c r="C51" s="28" t="s">
        <v>162</v>
      </c>
      <c r="D51" s="28" t="s">
        <v>117</v>
      </c>
      <c r="E51" s="28" t="s">
        <v>118</v>
      </c>
      <c r="F51" s="9" t="s">
        <v>121</v>
      </c>
      <c r="G51" s="18"/>
    </row>
    <row r="52" spans="1:7" ht="15">
      <c r="A52" s="203"/>
      <c r="B52" s="204"/>
      <c r="C52" s="205"/>
      <c r="D52" s="204"/>
      <c r="E52" s="204"/>
      <c r="F52" s="206">
        <v>0</v>
      </c>
      <c r="G52" s="18"/>
    </row>
    <row r="53" spans="1:7" ht="15">
      <c r="A53" s="207"/>
      <c r="B53" s="208"/>
      <c r="C53" s="209"/>
      <c r="D53" s="208"/>
      <c r="E53" s="208"/>
      <c r="F53" s="210">
        <v>0</v>
      </c>
      <c r="G53" s="18"/>
    </row>
    <row r="54" spans="1:7" ht="15">
      <c r="A54" s="207"/>
      <c r="B54" s="208"/>
      <c r="C54" s="209"/>
      <c r="D54" s="208"/>
      <c r="E54" s="208"/>
      <c r="F54" s="210">
        <v>0</v>
      </c>
      <c r="G54" s="18"/>
    </row>
    <row r="55" spans="1:7" ht="15">
      <c r="A55" s="207"/>
      <c r="B55" s="208"/>
      <c r="C55" s="209"/>
      <c r="D55" s="208"/>
      <c r="E55" s="208"/>
      <c r="F55" s="210">
        <v>0</v>
      </c>
      <c r="G55" s="18"/>
    </row>
    <row r="56" spans="1:7" ht="15">
      <c r="A56" s="207"/>
      <c r="B56" s="208"/>
      <c r="C56" s="209"/>
      <c r="D56" s="208"/>
      <c r="E56" s="208"/>
      <c r="F56" s="210">
        <v>0</v>
      </c>
      <c r="G56" s="18"/>
    </row>
    <row r="57" spans="1:7" ht="15">
      <c r="A57" s="207"/>
      <c r="B57" s="208"/>
      <c r="C57" s="209"/>
      <c r="D57" s="208"/>
      <c r="E57" s="208"/>
      <c r="F57" s="210">
        <v>0</v>
      </c>
      <c r="G57" s="18"/>
    </row>
    <row r="58" spans="1:7" ht="15">
      <c r="A58" s="207"/>
      <c r="B58" s="208"/>
      <c r="C58" s="209"/>
      <c r="D58" s="208"/>
      <c r="E58" s="208"/>
      <c r="F58" s="210">
        <v>0</v>
      </c>
      <c r="G58" s="18"/>
    </row>
    <row r="59" spans="1:7" ht="15">
      <c r="A59" s="207"/>
      <c r="B59" s="208"/>
      <c r="C59" s="209"/>
      <c r="D59" s="208"/>
      <c r="E59" s="208"/>
      <c r="F59" s="210">
        <v>0</v>
      </c>
      <c r="G59" s="18"/>
    </row>
    <row r="60" spans="1:7" ht="15">
      <c r="A60" s="207"/>
      <c r="B60" s="208"/>
      <c r="C60" s="209"/>
      <c r="D60" s="208"/>
      <c r="E60" s="208"/>
      <c r="F60" s="210">
        <v>0</v>
      </c>
      <c r="G60" s="18"/>
    </row>
    <row r="61" spans="1:6" ht="15">
      <c r="A61" s="207"/>
      <c r="B61" s="208"/>
      <c r="C61" s="209"/>
      <c r="D61" s="208"/>
      <c r="E61" s="208"/>
      <c r="F61" s="210">
        <v>0</v>
      </c>
    </row>
    <row r="62" spans="1:6" ht="15">
      <c r="A62" s="207"/>
      <c r="B62" s="208"/>
      <c r="C62" s="209"/>
      <c r="D62" s="208"/>
      <c r="E62" s="208"/>
      <c r="F62" s="210">
        <v>0</v>
      </c>
    </row>
    <row r="63" spans="1:6" ht="15">
      <c r="A63" s="207"/>
      <c r="B63" s="208"/>
      <c r="C63" s="209"/>
      <c r="D63" s="208"/>
      <c r="E63" s="208"/>
      <c r="F63" s="210">
        <v>0</v>
      </c>
    </row>
    <row r="64" spans="1:6" ht="15">
      <c r="A64" s="207"/>
      <c r="B64" s="208"/>
      <c r="C64" s="209"/>
      <c r="D64" s="208"/>
      <c r="E64" s="208"/>
      <c r="F64" s="210">
        <v>0</v>
      </c>
    </row>
    <row r="65" spans="1:6" ht="15">
      <c r="A65" s="207"/>
      <c r="B65" s="208"/>
      <c r="C65" s="209"/>
      <c r="D65" s="208"/>
      <c r="E65" s="208"/>
      <c r="F65" s="210">
        <v>0</v>
      </c>
    </row>
    <row r="66" spans="1:6" ht="15">
      <c r="A66" s="207"/>
      <c r="B66" s="208"/>
      <c r="C66" s="209"/>
      <c r="D66" s="208"/>
      <c r="E66" s="208"/>
      <c r="F66" s="210">
        <v>0</v>
      </c>
    </row>
    <row r="67" spans="1:6" ht="15">
      <c r="A67" s="207"/>
      <c r="B67" s="208"/>
      <c r="C67" s="209"/>
      <c r="D67" s="208"/>
      <c r="E67" s="208"/>
      <c r="F67" s="210">
        <v>0</v>
      </c>
    </row>
    <row r="68" spans="1:6" ht="15">
      <c r="A68" s="207"/>
      <c r="B68" s="208"/>
      <c r="C68" s="209"/>
      <c r="D68" s="208"/>
      <c r="E68" s="208"/>
      <c r="F68" s="210">
        <v>0</v>
      </c>
    </row>
    <row r="69" spans="1:6" ht="15">
      <c r="A69" s="207"/>
      <c r="B69" s="208"/>
      <c r="C69" s="209"/>
      <c r="D69" s="208"/>
      <c r="E69" s="208"/>
      <c r="F69" s="210">
        <v>0</v>
      </c>
    </row>
    <row r="70" spans="1:6" ht="15">
      <c r="A70" s="207"/>
      <c r="B70" s="208"/>
      <c r="C70" s="209"/>
      <c r="D70" s="208"/>
      <c r="E70" s="208"/>
      <c r="F70" s="210">
        <v>0</v>
      </c>
    </row>
    <row r="71" spans="1:6" ht="15">
      <c r="A71" s="207"/>
      <c r="B71" s="208"/>
      <c r="C71" s="209"/>
      <c r="D71" s="208"/>
      <c r="E71" s="208"/>
      <c r="F71" s="210">
        <v>0</v>
      </c>
    </row>
    <row r="72" spans="1:6" ht="15">
      <c r="A72" s="207"/>
      <c r="B72" s="208"/>
      <c r="C72" s="209"/>
      <c r="D72" s="208"/>
      <c r="E72" s="208"/>
      <c r="F72" s="210">
        <v>0</v>
      </c>
    </row>
    <row r="73" spans="1:6" ht="15">
      <c r="A73" s="207"/>
      <c r="B73" s="208"/>
      <c r="C73" s="209"/>
      <c r="D73" s="208"/>
      <c r="E73" s="208"/>
      <c r="F73" s="210">
        <v>0</v>
      </c>
    </row>
    <row r="74" spans="1:6" ht="15">
      <c r="A74" s="207"/>
      <c r="B74" s="208"/>
      <c r="C74" s="209"/>
      <c r="D74" s="208"/>
      <c r="E74" s="208"/>
      <c r="F74" s="210">
        <v>0</v>
      </c>
    </row>
    <row r="75" spans="1:6" ht="15">
      <c r="A75" s="207"/>
      <c r="B75" s="208"/>
      <c r="C75" s="209"/>
      <c r="D75" s="208"/>
      <c r="E75" s="208"/>
      <c r="F75" s="210">
        <v>0</v>
      </c>
    </row>
    <row r="76" spans="1:6" ht="15">
      <c r="A76" s="207"/>
      <c r="B76" s="208"/>
      <c r="C76" s="209"/>
      <c r="D76" s="208"/>
      <c r="E76" s="208"/>
      <c r="F76" s="210">
        <v>0</v>
      </c>
    </row>
    <row r="77" spans="1:6" ht="15">
      <c r="A77" s="207"/>
      <c r="B77" s="208"/>
      <c r="C77" s="209"/>
      <c r="D77" s="208"/>
      <c r="E77" s="208"/>
      <c r="F77" s="210">
        <v>0</v>
      </c>
    </row>
    <row r="78" spans="1:6" ht="15">
      <c r="A78" s="207"/>
      <c r="B78" s="208"/>
      <c r="C78" s="209"/>
      <c r="D78" s="208"/>
      <c r="E78" s="208"/>
      <c r="F78" s="210">
        <v>0</v>
      </c>
    </row>
    <row r="79" spans="1:6" ht="15">
      <c r="A79" s="207"/>
      <c r="B79" s="208"/>
      <c r="C79" s="209"/>
      <c r="D79" s="208"/>
      <c r="E79" s="208"/>
      <c r="F79" s="210">
        <v>0</v>
      </c>
    </row>
    <row r="80" spans="1:6" ht="15">
      <c r="A80" s="207"/>
      <c r="B80" s="208"/>
      <c r="C80" s="209"/>
      <c r="D80" s="208"/>
      <c r="E80" s="208"/>
      <c r="F80" s="210">
        <v>0</v>
      </c>
    </row>
    <row r="81" spans="1:6" ht="15.75" thickBot="1">
      <c r="A81" s="211"/>
      <c r="B81" s="212"/>
      <c r="C81" s="213"/>
      <c r="D81" s="212"/>
      <c r="E81" s="212"/>
      <c r="F81" s="214">
        <v>0</v>
      </c>
    </row>
    <row r="82" spans="1:7" s="41" customFormat="1" ht="15.75">
      <c r="A82" s="116">
        <f>COUNT(A52:A81)</f>
        <v>0</v>
      </c>
      <c r="B82" s="146"/>
      <c r="C82" s="146"/>
      <c r="D82" s="146"/>
      <c r="E82" s="146"/>
      <c r="F82" s="117">
        <f>AVERAGE(LARGE(F52:F81,1),LARGE(F52:F81,2),LARGE(F52:F81,3))</f>
        <v>0</v>
      </c>
      <c r="G82" s="148"/>
    </row>
    <row r="83" spans="1:6" ht="15.75">
      <c r="A83" s="113"/>
      <c r="B83" s="11"/>
      <c r="C83" s="29"/>
      <c r="D83" s="11"/>
      <c r="E83" s="11"/>
      <c r="F83" s="149"/>
    </row>
    <row r="84" spans="1:6" ht="30.75" customHeight="1">
      <c r="A84" s="299" t="s">
        <v>223</v>
      </c>
      <c r="B84" s="300"/>
      <c r="C84" s="300"/>
      <c r="D84" s="300"/>
      <c r="E84" s="30">
        <f>ROUND(A82/3,2)</f>
        <v>0</v>
      </c>
      <c r="F84" s="104"/>
    </row>
    <row r="85" spans="1:6" ht="15.75">
      <c r="A85" s="31"/>
      <c r="B85" s="32"/>
      <c r="C85" s="29"/>
      <c r="D85" s="11"/>
      <c r="E85" s="11"/>
      <c r="F85" s="104"/>
    </row>
    <row r="86" spans="1:6" ht="15.75" thickBot="1">
      <c r="A86" s="113" t="s">
        <v>119</v>
      </c>
      <c r="B86" s="11"/>
      <c r="C86" s="11"/>
      <c r="D86" s="11"/>
      <c r="E86" s="11"/>
      <c r="F86" s="104"/>
    </row>
    <row r="87" spans="1:6" ht="15.75" thickBot="1">
      <c r="A87" s="113"/>
      <c r="B87" s="9" t="s">
        <v>48</v>
      </c>
      <c r="C87" s="27" t="s">
        <v>49</v>
      </c>
      <c r="D87" s="9" t="s">
        <v>120</v>
      </c>
      <c r="E87" s="11"/>
      <c r="F87" s="104"/>
    </row>
    <row r="88" spans="1:6" ht="15">
      <c r="A88" s="113"/>
      <c r="B88" s="261" t="s">
        <v>144</v>
      </c>
      <c r="C88" s="144">
        <v>1</v>
      </c>
      <c r="D88" s="144" t="b">
        <f>IF($E$84&gt;=0.49,IF($E$84&lt;=0.97,"1",0))</f>
        <v>0</v>
      </c>
      <c r="E88" s="11"/>
      <c r="F88" s="104"/>
    </row>
    <row r="89" spans="1:6" ht="15">
      <c r="A89" s="113"/>
      <c r="B89" s="262" t="s">
        <v>145</v>
      </c>
      <c r="C89" s="47">
        <v>2</v>
      </c>
      <c r="D89" s="47" t="b">
        <f>IF($E$84&gt;=0.98,IF($E$84&lt;=1.46,"2",0))</f>
        <v>0</v>
      </c>
      <c r="E89" s="11"/>
      <c r="F89" s="104"/>
    </row>
    <row r="90" spans="1:6" ht="15">
      <c r="A90" s="113"/>
      <c r="B90" s="262" t="s">
        <v>146</v>
      </c>
      <c r="C90" s="47">
        <v>3</v>
      </c>
      <c r="D90" s="47" t="b">
        <f>IF($E$84&gt;=1.47,IF($E$84&lt;=1.95,"3",0))</f>
        <v>0</v>
      </c>
      <c r="E90" s="11"/>
      <c r="F90" s="104"/>
    </row>
    <row r="91" spans="1:6" ht="15">
      <c r="A91" s="113"/>
      <c r="B91" s="262" t="s">
        <v>147</v>
      </c>
      <c r="C91" s="47">
        <v>4</v>
      </c>
      <c r="D91" s="47" t="b">
        <f>IF($E$84&gt;=1.96,IF($E$84&lt;=2.44,"4",0))</f>
        <v>0</v>
      </c>
      <c r="E91" s="11"/>
      <c r="F91" s="104"/>
    </row>
    <row r="92" spans="1:6" ht="15">
      <c r="A92" s="113"/>
      <c r="B92" s="262" t="s">
        <v>148</v>
      </c>
      <c r="C92" s="47">
        <v>5</v>
      </c>
      <c r="D92" s="47" t="b">
        <f>IF($E$84&gt;=2.45,IF($E$84&lt;=2.93,"5",0))</f>
        <v>0</v>
      </c>
      <c r="E92" s="11"/>
      <c r="F92" s="104"/>
    </row>
    <row r="93" spans="1:6" ht="15">
      <c r="A93" s="113"/>
      <c r="B93" s="262" t="s">
        <v>149</v>
      </c>
      <c r="C93" s="47">
        <v>6</v>
      </c>
      <c r="D93" s="47" t="b">
        <f>IF($E$84&gt;=2.94,IF($E$84&lt;=3.42,"6",0))</f>
        <v>0</v>
      </c>
      <c r="E93" s="11"/>
      <c r="F93" s="104"/>
    </row>
    <row r="94" spans="1:6" ht="15">
      <c r="A94" s="113"/>
      <c r="B94" s="262" t="s">
        <v>150</v>
      </c>
      <c r="C94" s="47">
        <v>7</v>
      </c>
      <c r="D94" s="47" t="b">
        <f>IF($E$84&gt;=3.43,IF($E$84&lt;=3.91,"7",0))</f>
        <v>0</v>
      </c>
      <c r="E94" s="11"/>
      <c r="F94" s="104"/>
    </row>
    <row r="95" spans="1:6" ht="15">
      <c r="A95" s="113"/>
      <c r="B95" s="262" t="s">
        <v>208</v>
      </c>
      <c r="C95" s="47">
        <v>8</v>
      </c>
      <c r="D95" s="47" t="b">
        <f>IF($E$84&gt;=3.92,IF($E$84&lt;=4.4,"8",0))</f>
        <v>0</v>
      </c>
      <c r="E95" s="11"/>
      <c r="F95" s="104"/>
    </row>
    <row r="96" spans="1:6" ht="15.75" thickBot="1">
      <c r="A96" s="113"/>
      <c r="B96" s="263" t="s">
        <v>224</v>
      </c>
      <c r="C96" s="50">
        <v>9</v>
      </c>
      <c r="D96" s="50">
        <f>IF($E$84&gt;=4.41,"9",0)</f>
        <v>0</v>
      </c>
      <c r="E96" s="11"/>
      <c r="F96" s="104"/>
    </row>
    <row r="97" spans="1:6" ht="15.75">
      <c r="A97" s="113"/>
      <c r="B97" s="11"/>
      <c r="C97" s="145"/>
      <c r="D97" s="11"/>
      <c r="E97" s="29"/>
      <c r="F97" s="104"/>
    </row>
    <row r="98" spans="1:6" ht="16.5" thickBot="1">
      <c r="A98" s="118" t="s">
        <v>81</v>
      </c>
      <c r="B98" s="143"/>
      <c r="C98" s="119">
        <f>D88+D89+D90+D91+D92+D93+D94+D95+D96</f>
        <v>0</v>
      </c>
      <c r="D98" s="143"/>
      <c r="E98" s="143"/>
      <c r="F98" s="132"/>
    </row>
    <row r="99" spans="1:6" ht="15.75">
      <c r="A99" s="147"/>
      <c r="B99" s="120"/>
      <c r="C99" s="145"/>
      <c r="D99" s="145"/>
      <c r="E99" s="145"/>
      <c r="F99" s="105"/>
    </row>
    <row r="100" spans="1:6" ht="48.75" customHeight="1">
      <c r="A100" s="296" t="s">
        <v>158</v>
      </c>
      <c r="B100" s="297"/>
      <c r="C100" s="297"/>
      <c r="D100" s="297"/>
      <c r="E100" s="297"/>
      <c r="F100" s="298"/>
    </row>
    <row r="101" spans="1:6" ht="15">
      <c r="A101" s="113"/>
      <c r="B101" s="33"/>
      <c r="C101" s="35"/>
      <c r="D101" s="35"/>
      <c r="E101" s="35"/>
      <c r="F101" s="112"/>
    </row>
    <row r="102" spans="1:6" ht="15">
      <c r="A102" s="299" t="s">
        <v>225</v>
      </c>
      <c r="B102" s="297"/>
      <c r="C102" s="297"/>
      <c r="D102" s="297"/>
      <c r="E102" s="297"/>
      <c r="F102" s="298"/>
    </row>
    <row r="103" spans="1:10" s="12" customFormat="1" ht="15.75" thickBot="1">
      <c r="A103" s="113"/>
      <c r="B103" s="34"/>
      <c r="C103" s="34"/>
      <c r="D103" s="34"/>
      <c r="E103" s="35"/>
      <c r="F103" s="112"/>
      <c r="G103" s="38"/>
      <c r="H103" s="150"/>
      <c r="I103" s="151"/>
      <c r="J103" s="106"/>
    </row>
    <row r="104" spans="1:10" ht="15.75" thickBot="1">
      <c r="A104" s="113"/>
      <c r="B104" s="9" t="s">
        <v>121</v>
      </c>
      <c r="C104" s="27" t="s">
        <v>49</v>
      </c>
      <c r="D104" s="9" t="s">
        <v>120</v>
      </c>
      <c r="E104" s="11"/>
      <c r="F104" s="104"/>
      <c r="H104" s="150"/>
      <c r="I104" s="151"/>
      <c r="J104" s="106"/>
    </row>
    <row r="105" spans="1:10" ht="15">
      <c r="A105" s="113"/>
      <c r="B105" s="264" t="s">
        <v>163</v>
      </c>
      <c r="C105" s="144">
        <v>1</v>
      </c>
      <c r="D105" s="144" t="b">
        <f>IF($F$82&gt;=0.269,IF($F$82&lt;=0.437,"1",0))</f>
        <v>0</v>
      </c>
      <c r="E105" s="11"/>
      <c r="F105" s="104"/>
      <c r="H105" s="150"/>
      <c r="I105" s="151"/>
      <c r="J105" s="106"/>
    </row>
    <row r="106" spans="1:10" ht="15">
      <c r="A106" s="113"/>
      <c r="B106" s="265" t="s">
        <v>164</v>
      </c>
      <c r="C106" s="47">
        <v>2</v>
      </c>
      <c r="D106" s="47" t="b">
        <f>IF($F$82&gt;=0.438,IF($F$82&lt;=0.586,"2",0))</f>
        <v>0</v>
      </c>
      <c r="E106" s="11"/>
      <c r="F106" s="104"/>
      <c r="H106" s="150"/>
      <c r="I106" s="151"/>
      <c r="J106" s="106"/>
    </row>
    <row r="107" spans="1:10" ht="15">
      <c r="A107" s="113"/>
      <c r="B107" s="265" t="s">
        <v>140</v>
      </c>
      <c r="C107" s="47">
        <v>3</v>
      </c>
      <c r="D107" s="47" t="b">
        <f>IF($F$82&gt;=0.587,IF($F$82&lt;=0.679,"3",0))</f>
        <v>0</v>
      </c>
      <c r="E107" s="11"/>
      <c r="F107" s="104"/>
      <c r="H107" s="150"/>
      <c r="I107" s="151"/>
      <c r="J107" s="108"/>
    </row>
    <row r="108" spans="1:10" ht="15">
      <c r="A108" s="113"/>
      <c r="B108" s="265" t="s">
        <v>141</v>
      </c>
      <c r="C108" s="48">
        <v>4</v>
      </c>
      <c r="D108" s="47" t="b">
        <f>IF($F$82&gt;=0.68,IF($F$82&lt;=0.857,"4",0))</f>
        <v>0</v>
      </c>
      <c r="E108" s="11"/>
      <c r="F108" s="104"/>
      <c r="G108" s="37"/>
      <c r="H108" s="150"/>
      <c r="I108" s="151"/>
      <c r="J108" s="106"/>
    </row>
    <row r="109" spans="1:10" ht="15">
      <c r="A109" s="113"/>
      <c r="B109" s="265" t="s">
        <v>142</v>
      </c>
      <c r="C109" s="48">
        <v>5</v>
      </c>
      <c r="D109" s="47" t="b">
        <f>IF($F$82&gt;=0.858,IF($F$82&lt;=1,"5",0))</f>
        <v>0</v>
      </c>
      <c r="E109" s="11"/>
      <c r="F109" s="104"/>
      <c r="G109" s="38"/>
      <c r="H109" s="150"/>
      <c r="I109" s="151"/>
      <c r="J109" s="108"/>
    </row>
    <row r="110" spans="1:10" ht="15">
      <c r="A110" s="113"/>
      <c r="B110" s="265" t="s">
        <v>165</v>
      </c>
      <c r="C110" s="48">
        <v>6</v>
      </c>
      <c r="D110" s="47" t="b">
        <f>IF($F$82&gt;=1.001,IF($F$82&lt;=1.222,"6",0))</f>
        <v>0</v>
      </c>
      <c r="E110" s="11"/>
      <c r="F110" s="104"/>
      <c r="G110" s="38"/>
      <c r="H110" s="150"/>
      <c r="I110" s="151"/>
      <c r="J110" s="107"/>
    </row>
    <row r="111" spans="1:10" ht="15">
      <c r="A111" s="113"/>
      <c r="B111" s="265" t="s">
        <v>166</v>
      </c>
      <c r="C111" s="48">
        <v>7</v>
      </c>
      <c r="D111" s="47" t="b">
        <f>IF($F$82&gt;=1.223,IF($F$82&lt;=1.83,"7",0))</f>
        <v>0</v>
      </c>
      <c r="E111" s="11"/>
      <c r="F111" s="104"/>
      <c r="G111" s="38"/>
      <c r="H111" s="150"/>
      <c r="I111" s="151"/>
      <c r="J111" s="106"/>
    </row>
    <row r="112" spans="1:10" ht="15">
      <c r="A112" s="113"/>
      <c r="B112" s="265" t="s">
        <v>209</v>
      </c>
      <c r="C112" s="48">
        <v>8</v>
      </c>
      <c r="D112" s="47" t="b">
        <f>IF($F$82&gt;=1.831,IF($F$82&lt;=2.109,"8",0))</f>
        <v>0</v>
      </c>
      <c r="E112" s="11"/>
      <c r="F112" s="104"/>
      <c r="G112" s="38"/>
      <c r="H112" s="150"/>
      <c r="I112" s="151"/>
      <c r="J112" s="106"/>
    </row>
    <row r="113" spans="1:10" ht="15.75" thickBot="1">
      <c r="A113" s="113"/>
      <c r="B113" s="266" t="s">
        <v>226</v>
      </c>
      <c r="C113" s="50">
        <v>9</v>
      </c>
      <c r="D113" s="50">
        <f>IF($F$82&gt;=2.11,"9",0)</f>
        <v>0</v>
      </c>
      <c r="E113" s="11"/>
      <c r="F113" s="104"/>
      <c r="G113" s="38"/>
      <c r="H113" s="150"/>
      <c r="I113" s="151"/>
      <c r="J113" s="106"/>
    </row>
    <row r="114" spans="1:10" ht="15.75">
      <c r="A114" s="113"/>
      <c r="B114" s="152"/>
      <c r="C114" s="11"/>
      <c r="D114" s="25"/>
      <c r="E114" s="1"/>
      <c r="F114" s="104"/>
      <c r="G114" s="38"/>
      <c r="H114" s="150"/>
      <c r="I114" s="151"/>
      <c r="J114" s="106"/>
    </row>
    <row r="115" spans="1:7" ht="15.75">
      <c r="A115" s="113" t="s">
        <v>113</v>
      </c>
      <c r="B115" s="11"/>
      <c r="C115" s="39">
        <f>D105+D106+D107+D108+D109+D110+D111+D112+D113</f>
        <v>0</v>
      </c>
      <c r="D115" s="35"/>
      <c r="E115" s="11"/>
      <c r="F115" s="115"/>
      <c r="G115" s="38"/>
    </row>
    <row r="116" spans="1:7" ht="15.75">
      <c r="A116" s="113"/>
      <c r="B116" s="11"/>
      <c r="C116" s="40"/>
      <c r="D116" s="35"/>
      <c r="E116" s="11"/>
      <c r="F116" s="115"/>
      <c r="G116" s="38"/>
    </row>
    <row r="117" spans="1:6" ht="67.5" customHeight="1">
      <c r="A117" s="296" t="s">
        <v>8</v>
      </c>
      <c r="B117" s="297"/>
      <c r="C117" s="297"/>
      <c r="D117" s="297"/>
      <c r="E117" s="297"/>
      <c r="F117" s="298"/>
    </row>
    <row r="118" spans="1:6" ht="15">
      <c r="A118" s="113"/>
      <c r="B118" s="33"/>
      <c r="C118" s="35"/>
      <c r="D118" s="35"/>
      <c r="E118" s="35"/>
      <c r="F118" s="112"/>
    </row>
    <row r="119" spans="1:10" ht="93" customHeight="1">
      <c r="A119" s="299" t="s">
        <v>7</v>
      </c>
      <c r="B119" s="297"/>
      <c r="C119" s="297"/>
      <c r="D119" s="297"/>
      <c r="E119" s="297"/>
      <c r="F119" s="298"/>
      <c r="H119" s="12"/>
      <c r="I119" s="12"/>
      <c r="J119" s="12"/>
    </row>
    <row r="120" spans="1:6" ht="15">
      <c r="A120" s="111"/>
      <c r="B120" s="11"/>
      <c r="C120" s="11"/>
      <c r="D120" s="11"/>
      <c r="E120" s="11"/>
      <c r="F120" s="104"/>
    </row>
    <row r="121" spans="1:10" s="12" customFormat="1" ht="15">
      <c r="A121" s="113"/>
      <c r="B121" s="35"/>
      <c r="C121" s="35"/>
      <c r="D121" s="35"/>
      <c r="E121" s="35"/>
      <c r="F121" s="112"/>
      <c r="G121" s="38"/>
      <c r="H121" s="41"/>
      <c r="I121" s="41"/>
      <c r="J121" s="41"/>
    </row>
    <row r="122" spans="1:11" s="44" customFormat="1" ht="15.75" thickBot="1">
      <c r="A122" s="113" t="s">
        <v>67</v>
      </c>
      <c r="B122" s="25"/>
      <c r="C122" s="25"/>
      <c r="D122" s="11"/>
      <c r="E122" s="11"/>
      <c r="F122" s="121"/>
      <c r="H122" s="41"/>
      <c r="I122" s="41"/>
      <c r="J122" s="41"/>
      <c r="K122" s="18"/>
    </row>
    <row r="123" spans="1:10" s="41" customFormat="1" ht="30.75" thickBot="1">
      <c r="A123" s="9" t="s">
        <v>122</v>
      </c>
      <c r="B123" s="28" t="s">
        <v>68</v>
      </c>
      <c r="C123" s="28" t="s">
        <v>86</v>
      </c>
      <c r="D123" s="28" t="s">
        <v>111</v>
      </c>
      <c r="E123" s="27" t="s">
        <v>69</v>
      </c>
      <c r="F123" s="122"/>
      <c r="H123" s="18"/>
      <c r="I123" s="18"/>
      <c r="J123" s="18"/>
    </row>
    <row r="124" spans="1:10" s="41" customFormat="1" ht="15.75" thickBot="1">
      <c r="A124" s="123" t="s">
        <v>20</v>
      </c>
      <c r="B124" s="42"/>
      <c r="C124" s="42"/>
      <c r="D124" s="42"/>
      <c r="E124" s="96"/>
      <c r="F124" s="124"/>
      <c r="H124" s="18"/>
      <c r="I124" s="18"/>
      <c r="J124" s="18"/>
    </row>
    <row r="125" spans="1:7" ht="15">
      <c r="A125" s="204"/>
      <c r="B125" s="215"/>
      <c r="C125" s="216">
        <v>0</v>
      </c>
      <c r="D125" s="216">
        <v>0</v>
      </c>
      <c r="E125" s="98">
        <f>SUM(C125:D125)</f>
        <v>0</v>
      </c>
      <c r="F125" s="104"/>
      <c r="G125" s="18"/>
    </row>
    <row r="126" spans="1:7" ht="15">
      <c r="A126" s="208"/>
      <c r="B126" s="217"/>
      <c r="C126" s="218">
        <v>0</v>
      </c>
      <c r="D126" s="218">
        <v>0</v>
      </c>
      <c r="E126" s="99">
        <f aca="true" t="shared" si="0" ref="E126:E134">SUM(C126:D126)</f>
        <v>0</v>
      </c>
      <c r="F126" s="104"/>
      <c r="G126" s="18"/>
    </row>
    <row r="127" spans="1:7" ht="15">
      <c r="A127" s="208"/>
      <c r="B127" s="219"/>
      <c r="C127" s="218">
        <v>0</v>
      </c>
      <c r="D127" s="218">
        <v>0</v>
      </c>
      <c r="E127" s="99">
        <f t="shared" si="0"/>
        <v>0</v>
      </c>
      <c r="F127" s="104"/>
      <c r="G127" s="18"/>
    </row>
    <row r="128" spans="1:7" ht="15">
      <c r="A128" s="208"/>
      <c r="B128" s="219"/>
      <c r="C128" s="218">
        <v>0</v>
      </c>
      <c r="D128" s="218">
        <v>0</v>
      </c>
      <c r="E128" s="99">
        <f t="shared" si="0"/>
        <v>0</v>
      </c>
      <c r="F128" s="104"/>
      <c r="G128" s="18"/>
    </row>
    <row r="129" spans="1:7" ht="15">
      <c r="A129" s="208"/>
      <c r="B129" s="219"/>
      <c r="C129" s="218">
        <v>0</v>
      </c>
      <c r="D129" s="218">
        <v>0</v>
      </c>
      <c r="E129" s="99">
        <f t="shared" si="0"/>
        <v>0</v>
      </c>
      <c r="F129" s="104"/>
      <c r="G129" s="18"/>
    </row>
    <row r="130" spans="1:7" ht="15">
      <c r="A130" s="208"/>
      <c r="B130" s="219"/>
      <c r="C130" s="218">
        <v>0</v>
      </c>
      <c r="D130" s="218">
        <v>0</v>
      </c>
      <c r="E130" s="99">
        <f t="shared" si="0"/>
        <v>0</v>
      </c>
      <c r="F130" s="104"/>
      <c r="G130" s="18"/>
    </row>
    <row r="131" spans="1:7" ht="15">
      <c r="A131" s="208"/>
      <c r="B131" s="219"/>
      <c r="C131" s="218">
        <v>0</v>
      </c>
      <c r="D131" s="218">
        <v>0</v>
      </c>
      <c r="E131" s="99">
        <f t="shared" si="0"/>
        <v>0</v>
      </c>
      <c r="F131" s="104"/>
      <c r="G131" s="18"/>
    </row>
    <row r="132" spans="1:7" ht="15">
      <c r="A132" s="208"/>
      <c r="B132" s="219"/>
      <c r="C132" s="218">
        <v>0</v>
      </c>
      <c r="D132" s="218">
        <v>0</v>
      </c>
      <c r="E132" s="99">
        <f t="shared" si="0"/>
        <v>0</v>
      </c>
      <c r="F132" s="104"/>
      <c r="G132" s="18"/>
    </row>
    <row r="133" spans="1:7" ht="15">
      <c r="A133" s="208" t="s">
        <v>15</v>
      </c>
      <c r="B133" s="219" t="s">
        <v>15</v>
      </c>
      <c r="C133" s="218">
        <v>0</v>
      </c>
      <c r="D133" s="218">
        <v>0</v>
      </c>
      <c r="E133" s="99">
        <f t="shared" si="0"/>
        <v>0</v>
      </c>
      <c r="F133" s="104"/>
      <c r="G133" s="18"/>
    </row>
    <row r="134" spans="1:7" ht="15.75" thickBot="1">
      <c r="A134" s="212"/>
      <c r="B134" s="220"/>
      <c r="C134" s="221">
        <v>0</v>
      </c>
      <c r="D134" s="221">
        <v>0</v>
      </c>
      <c r="E134" s="100">
        <f t="shared" si="0"/>
        <v>0</v>
      </c>
      <c r="F134" s="104"/>
      <c r="G134" s="18"/>
    </row>
    <row r="135" spans="1:7" ht="15.75" thickBot="1">
      <c r="A135" s="123" t="s">
        <v>21</v>
      </c>
      <c r="B135" s="42"/>
      <c r="C135" s="43"/>
      <c r="D135" s="43"/>
      <c r="E135" s="97"/>
      <c r="F135" s="104"/>
      <c r="G135" s="18"/>
    </row>
    <row r="136" spans="1:7" ht="15">
      <c r="A136" s="208"/>
      <c r="B136" s="222"/>
      <c r="C136" s="218">
        <v>0</v>
      </c>
      <c r="D136" s="223">
        <v>0</v>
      </c>
      <c r="E136" s="98">
        <f>SUM(C136:D136)</f>
        <v>0</v>
      </c>
      <c r="F136" s="104"/>
      <c r="G136" s="18"/>
    </row>
    <row r="137" spans="1:7" ht="15">
      <c r="A137" s="208"/>
      <c r="B137" s="222"/>
      <c r="C137" s="218">
        <v>0</v>
      </c>
      <c r="D137" s="223">
        <v>0</v>
      </c>
      <c r="E137" s="99">
        <f aca="true" t="shared" si="1" ref="E137:E145">SUM(C137:D137)</f>
        <v>0</v>
      </c>
      <c r="F137" s="104"/>
      <c r="G137" s="18"/>
    </row>
    <row r="138" spans="1:7" ht="15">
      <c r="A138" s="208"/>
      <c r="B138" s="224"/>
      <c r="C138" s="218">
        <v>0</v>
      </c>
      <c r="D138" s="223">
        <v>0</v>
      </c>
      <c r="E138" s="99">
        <f t="shared" si="1"/>
        <v>0</v>
      </c>
      <c r="F138" s="104"/>
      <c r="G138" s="18"/>
    </row>
    <row r="139" spans="1:7" ht="15">
      <c r="A139" s="208"/>
      <c r="B139" s="224"/>
      <c r="C139" s="218">
        <v>0</v>
      </c>
      <c r="D139" s="223">
        <v>0</v>
      </c>
      <c r="E139" s="99">
        <f t="shared" si="1"/>
        <v>0</v>
      </c>
      <c r="F139" s="104"/>
      <c r="G139" s="18"/>
    </row>
    <row r="140" spans="1:7" ht="15">
      <c r="A140" s="208"/>
      <c r="B140" s="224"/>
      <c r="C140" s="218">
        <v>0</v>
      </c>
      <c r="D140" s="223">
        <v>0</v>
      </c>
      <c r="E140" s="99">
        <f t="shared" si="1"/>
        <v>0</v>
      </c>
      <c r="F140" s="104"/>
      <c r="G140" s="18"/>
    </row>
    <row r="141" spans="1:7" ht="15">
      <c r="A141" s="208"/>
      <c r="B141" s="224"/>
      <c r="C141" s="218">
        <v>0</v>
      </c>
      <c r="D141" s="223">
        <v>0</v>
      </c>
      <c r="E141" s="99">
        <f t="shared" si="1"/>
        <v>0</v>
      </c>
      <c r="F141" s="104"/>
      <c r="G141" s="18"/>
    </row>
    <row r="142" spans="1:7" ht="15">
      <c r="A142" s="208"/>
      <c r="B142" s="224"/>
      <c r="C142" s="218">
        <v>0</v>
      </c>
      <c r="D142" s="223">
        <v>0</v>
      </c>
      <c r="E142" s="99">
        <f t="shared" si="1"/>
        <v>0</v>
      </c>
      <c r="F142" s="104"/>
      <c r="G142" s="18"/>
    </row>
    <row r="143" spans="1:7" ht="15">
      <c r="A143" s="208"/>
      <c r="B143" s="224"/>
      <c r="C143" s="218">
        <v>0</v>
      </c>
      <c r="D143" s="223">
        <v>0</v>
      </c>
      <c r="E143" s="99">
        <f t="shared" si="1"/>
        <v>0</v>
      </c>
      <c r="F143" s="104"/>
      <c r="G143" s="18"/>
    </row>
    <row r="144" spans="1:7" ht="15">
      <c r="A144" s="208"/>
      <c r="B144" s="224"/>
      <c r="C144" s="218">
        <v>0</v>
      </c>
      <c r="D144" s="223">
        <v>0</v>
      </c>
      <c r="E144" s="99">
        <f t="shared" si="1"/>
        <v>0</v>
      </c>
      <c r="F144" s="104"/>
      <c r="G144" s="18"/>
    </row>
    <row r="145" spans="1:7" ht="15.75" thickBot="1">
      <c r="A145" s="208"/>
      <c r="B145" s="224"/>
      <c r="C145" s="218">
        <v>0</v>
      </c>
      <c r="D145" s="223">
        <v>0</v>
      </c>
      <c r="E145" s="100">
        <f t="shared" si="1"/>
        <v>0</v>
      </c>
      <c r="F145" s="104"/>
      <c r="G145" s="18"/>
    </row>
    <row r="146" spans="1:7" ht="15.75" thickBot="1">
      <c r="A146" s="102" t="s">
        <v>22</v>
      </c>
      <c r="B146" s="42"/>
      <c r="C146" s="43"/>
      <c r="D146" s="43"/>
      <c r="E146" s="97"/>
      <c r="F146" s="104"/>
      <c r="G146" s="18"/>
    </row>
    <row r="147" spans="1:7" ht="15">
      <c r="A147" s="208"/>
      <c r="B147" s="222"/>
      <c r="C147" s="218">
        <v>0</v>
      </c>
      <c r="D147" s="223">
        <v>0</v>
      </c>
      <c r="E147" s="98">
        <f>SUM(C147:D147)/2</f>
        <v>0</v>
      </c>
      <c r="F147" s="104"/>
      <c r="G147" s="18"/>
    </row>
    <row r="148" spans="1:7" ht="15">
      <c r="A148" s="208"/>
      <c r="B148" s="224"/>
      <c r="C148" s="218">
        <v>0</v>
      </c>
      <c r="D148" s="223">
        <v>0</v>
      </c>
      <c r="E148" s="99">
        <f>SUM(C148:D148)/2</f>
        <v>0</v>
      </c>
      <c r="F148" s="104"/>
      <c r="G148" s="18"/>
    </row>
    <row r="149" spans="1:7" ht="15">
      <c r="A149" s="208"/>
      <c r="B149" s="224"/>
      <c r="C149" s="218">
        <v>0</v>
      </c>
      <c r="D149" s="223">
        <v>0</v>
      </c>
      <c r="E149" s="99">
        <f>SUM(C149:D149)/2</f>
        <v>0</v>
      </c>
      <c r="F149" s="104"/>
      <c r="G149" s="18"/>
    </row>
    <row r="150" spans="1:7" ht="15">
      <c r="A150" s="208" t="s">
        <v>15</v>
      </c>
      <c r="B150" s="224"/>
      <c r="C150" s="218">
        <v>0</v>
      </c>
      <c r="D150" s="223">
        <v>0</v>
      </c>
      <c r="E150" s="99">
        <f>SUM(C150:D150)/2</f>
        <v>0</v>
      </c>
      <c r="F150" s="104"/>
      <c r="G150" s="18"/>
    </row>
    <row r="151" spans="1:7" ht="15.75" thickBot="1">
      <c r="A151" s="212" t="s">
        <v>15</v>
      </c>
      <c r="B151" s="225"/>
      <c r="C151" s="221">
        <v>0</v>
      </c>
      <c r="D151" s="226">
        <v>0</v>
      </c>
      <c r="E151" s="100">
        <f>SUM(C151:D151)/2</f>
        <v>0</v>
      </c>
      <c r="F151" s="104"/>
      <c r="G151" s="18"/>
    </row>
    <row r="152" spans="1:6" ht="16.5" thickBot="1">
      <c r="A152" s="125"/>
      <c r="B152" s="143"/>
      <c r="C152" s="143"/>
      <c r="D152" s="143"/>
      <c r="E152" s="126">
        <f>SUM(E125:E151)</f>
        <v>0</v>
      </c>
      <c r="F152" s="132"/>
    </row>
    <row r="153" spans="1:6" ht="15.75">
      <c r="A153" s="127"/>
      <c r="B153" s="145"/>
      <c r="C153" s="145"/>
      <c r="D153" s="145"/>
      <c r="E153" s="145"/>
      <c r="F153" s="128"/>
    </row>
    <row r="154" spans="1:6" ht="32.25" customHeight="1" thickBot="1">
      <c r="A154" s="299" t="s">
        <v>197</v>
      </c>
      <c r="B154" s="301"/>
      <c r="C154" s="301"/>
      <c r="D154" s="301"/>
      <c r="E154" s="301"/>
      <c r="F154" s="302"/>
    </row>
    <row r="155" spans="1:6" ht="45.75" thickBot="1">
      <c r="A155" s="113"/>
      <c r="B155" s="110" t="s">
        <v>122</v>
      </c>
      <c r="C155" s="28" t="s">
        <v>123</v>
      </c>
      <c r="D155" s="9" t="s">
        <v>199</v>
      </c>
      <c r="E155" s="11"/>
      <c r="F155" s="129"/>
    </row>
    <row r="156" spans="1:6" ht="15.75">
      <c r="A156" s="113"/>
      <c r="B156" s="227"/>
      <c r="C156" s="228"/>
      <c r="D156" s="229"/>
      <c r="E156" s="11"/>
      <c r="F156" s="129"/>
    </row>
    <row r="157" spans="1:6" ht="15.75">
      <c r="A157" s="113"/>
      <c r="B157" s="230"/>
      <c r="C157" s="231"/>
      <c r="D157" s="232"/>
      <c r="E157" s="11"/>
      <c r="F157" s="129"/>
    </row>
    <row r="158" spans="1:6" ht="15.75">
      <c r="A158" s="113"/>
      <c r="B158" s="230"/>
      <c r="C158" s="231"/>
      <c r="D158" s="232"/>
      <c r="E158" s="11"/>
      <c r="F158" s="129"/>
    </row>
    <row r="159" spans="1:6" ht="15.75">
      <c r="A159" s="113"/>
      <c r="B159" s="233"/>
      <c r="C159" s="234"/>
      <c r="D159" s="235"/>
      <c r="E159" s="11"/>
      <c r="F159" s="129"/>
    </row>
    <row r="160" spans="1:6" ht="16.5" thickBot="1">
      <c r="A160" s="113"/>
      <c r="B160" s="236"/>
      <c r="C160" s="237"/>
      <c r="D160" s="238"/>
      <c r="E160" s="11"/>
      <c r="F160" s="129"/>
    </row>
    <row r="161" spans="1:6" ht="15.75">
      <c r="A161" s="130"/>
      <c r="B161" s="11"/>
      <c r="C161" s="11"/>
      <c r="D161" s="11"/>
      <c r="E161" s="11"/>
      <c r="F161" s="129"/>
    </row>
    <row r="162" spans="1:6" ht="15.75" thickBot="1">
      <c r="A162" s="293" t="s">
        <v>215</v>
      </c>
      <c r="B162" s="294"/>
      <c r="C162" s="294"/>
      <c r="D162" s="294"/>
      <c r="E162" s="294"/>
      <c r="F162" s="295"/>
    </row>
    <row r="163" spans="1:6" ht="60.75" thickBot="1">
      <c r="A163" s="113"/>
      <c r="B163" s="9" t="s">
        <v>66</v>
      </c>
      <c r="C163" s="9" t="s">
        <v>122</v>
      </c>
      <c r="D163" s="28" t="s">
        <v>123</v>
      </c>
      <c r="E163" s="9" t="s">
        <v>137</v>
      </c>
      <c r="F163" s="129"/>
    </row>
    <row r="164" spans="1:6" ht="15.75">
      <c r="A164" s="113"/>
      <c r="B164" s="206"/>
      <c r="C164" s="204"/>
      <c r="D164" s="239"/>
      <c r="E164" s="215"/>
      <c r="F164" s="129"/>
    </row>
    <row r="165" spans="1:6" ht="15.75">
      <c r="A165" s="113"/>
      <c r="B165" s="240"/>
      <c r="C165" s="241"/>
      <c r="D165" s="242"/>
      <c r="E165" s="243"/>
      <c r="F165" s="129"/>
    </row>
    <row r="166" spans="1:6" ht="15.75">
      <c r="A166" s="113"/>
      <c r="B166" s="240"/>
      <c r="C166" s="241"/>
      <c r="D166" s="242"/>
      <c r="E166" s="243"/>
      <c r="F166" s="129"/>
    </row>
    <row r="167" spans="1:6" ht="15.75">
      <c r="A167" s="113"/>
      <c r="B167" s="210"/>
      <c r="C167" s="208"/>
      <c r="D167" s="224"/>
      <c r="E167" s="217"/>
      <c r="F167" s="129"/>
    </row>
    <row r="168" spans="1:6" ht="16.5" thickBot="1">
      <c r="A168" s="113"/>
      <c r="B168" s="214"/>
      <c r="C168" s="212"/>
      <c r="D168" s="225"/>
      <c r="E168" s="244"/>
      <c r="F168" s="129"/>
    </row>
    <row r="169" spans="1:6" ht="15.75">
      <c r="A169" s="113"/>
      <c r="B169" s="153">
        <f>COUNT(B164:B168)</f>
        <v>0</v>
      </c>
      <c r="C169" s="101"/>
      <c r="D169" s="101"/>
      <c r="E169" s="101"/>
      <c r="F169" s="129"/>
    </row>
    <row r="170" spans="1:6" ht="15.75">
      <c r="A170" s="130"/>
      <c r="B170" s="11"/>
      <c r="C170" s="11"/>
      <c r="D170" s="11"/>
      <c r="E170" s="11"/>
      <c r="F170" s="129"/>
    </row>
    <row r="171" spans="1:10" ht="15.75">
      <c r="A171" s="113" t="s">
        <v>58</v>
      </c>
      <c r="B171" s="10"/>
      <c r="C171" s="30">
        <f>E152+B169</f>
        <v>0</v>
      </c>
      <c r="D171" s="11"/>
      <c r="E171" s="11"/>
      <c r="F171" s="104"/>
      <c r="G171" s="154"/>
      <c r="H171" s="41"/>
      <c r="I171" s="41"/>
      <c r="J171" s="41"/>
    </row>
    <row r="172" spans="1:7" ht="16.5" thickBot="1">
      <c r="A172" s="113"/>
      <c r="B172" s="10"/>
      <c r="C172" s="11"/>
      <c r="D172" s="11"/>
      <c r="E172" s="11"/>
      <c r="F172" s="104"/>
      <c r="G172" s="154"/>
    </row>
    <row r="173" spans="1:11" s="148" customFormat="1" ht="15.75" thickBot="1">
      <c r="A173" s="155"/>
      <c r="B173" s="27"/>
      <c r="C173" s="27" t="s">
        <v>49</v>
      </c>
      <c r="D173" s="9" t="s">
        <v>120</v>
      </c>
      <c r="E173" s="146"/>
      <c r="F173" s="124"/>
      <c r="G173" s="45"/>
      <c r="H173" s="18"/>
      <c r="I173" s="18"/>
      <c r="J173" s="18"/>
      <c r="K173" s="41"/>
    </row>
    <row r="174" spans="1:6" ht="15">
      <c r="A174" s="113"/>
      <c r="B174" s="46" t="s">
        <v>57</v>
      </c>
      <c r="C174" s="47">
        <v>0</v>
      </c>
      <c r="D174" s="144" t="str">
        <f>IF($C$171&gt;=0,IF($C$171&lt;=0.49,"0",0))</f>
        <v>0</v>
      </c>
      <c r="E174" s="11"/>
      <c r="F174" s="104"/>
    </row>
    <row r="175" spans="1:6" ht="15">
      <c r="A175" s="113"/>
      <c r="B175" s="48" t="s">
        <v>124</v>
      </c>
      <c r="C175" s="47">
        <v>5</v>
      </c>
      <c r="D175" s="47" t="b">
        <f>IF($C$171&gt;=0.5,IF($C$171&lt;=0.99,"5",0))</f>
        <v>0</v>
      </c>
      <c r="E175" s="11"/>
      <c r="F175" s="104"/>
    </row>
    <row r="176" spans="1:6" ht="15">
      <c r="A176" s="113"/>
      <c r="B176" s="48" t="s">
        <v>125</v>
      </c>
      <c r="C176" s="47">
        <v>6</v>
      </c>
      <c r="D176" s="47" t="b">
        <f>IF($C$171&gt;=1,IF($C$171&lt;=1.49,"6",0))</f>
        <v>0</v>
      </c>
      <c r="E176" s="11"/>
      <c r="F176" s="104"/>
    </row>
    <row r="177" spans="1:6" ht="15">
      <c r="A177" s="113"/>
      <c r="B177" s="48" t="s">
        <v>126</v>
      </c>
      <c r="C177" s="47">
        <v>7</v>
      </c>
      <c r="D177" s="47" t="b">
        <f>IF($C$171&gt;=1.5,IF($C$171&lt;=1.99,"7",0))</f>
        <v>0</v>
      </c>
      <c r="E177" s="11"/>
      <c r="F177" s="104"/>
    </row>
    <row r="178" spans="1:6" ht="15">
      <c r="A178" s="113"/>
      <c r="B178" s="92" t="s">
        <v>127</v>
      </c>
      <c r="C178" s="93">
        <v>8</v>
      </c>
      <c r="D178" s="47" t="b">
        <f>IF($C$171&gt;=2,IF($C$171&lt;=2.49,"8",0))</f>
        <v>0</v>
      </c>
      <c r="E178" s="11"/>
      <c r="F178" s="104"/>
    </row>
    <row r="179" spans="1:6" ht="30.75" thickBot="1">
      <c r="A179" s="113"/>
      <c r="B179" s="49" t="s">
        <v>43</v>
      </c>
      <c r="C179" s="50">
        <v>9</v>
      </c>
      <c r="D179" s="50">
        <f>IF($C$171&gt;=2.5,"9",0)</f>
        <v>0</v>
      </c>
      <c r="E179" s="29"/>
      <c r="F179" s="104"/>
    </row>
    <row r="180" spans="1:6" ht="15.75">
      <c r="A180" s="113"/>
      <c r="B180" s="35"/>
      <c r="C180" s="25"/>
      <c r="D180" s="62">
        <f>D174+D175+D176+D177+D178+D179</f>
        <v>0</v>
      </c>
      <c r="E180" s="29"/>
      <c r="F180" s="104"/>
    </row>
    <row r="181" spans="1:6" ht="15.75">
      <c r="A181" s="113"/>
      <c r="B181" s="11"/>
      <c r="C181" s="11"/>
      <c r="D181" s="29"/>
      <c r="E181" s="11"/>
      <c r="F181" s="104"/>
    </row>
    <row r="182" spans="1:6" ht="15.75">
      <c r="A182" s="113" t="s">
        <v>29</v>
      </c>
      <c r="B182" s="1"/>
      <c r="C182" s="11"/>
      <c r="D182" s="30">
        <f>D180</f>
        <v>0</v>
      </c>
      <c r="E182" s="11"/>
      <c r="F182" s="104"/>
    </row>
    <row r="183" spans="1:6" ht="15.75">
      <c r="A183" s="113"/>
      <c r="B183" s="1"/>
      <c r="C183" s="11"/>
      <c r="D183" s="29"/>
      <c r="E183" s="11"/>
      <c r="F183" s="104"/>
    </row>
    <row r="184" spans="1:6" ht="15.75">
      <c r="A184" s="114" t="s">
        <v>135</v>
      </c>
      <c r="B184" s="1"/>
      <c r="C184" s="11"/>
      <c r="D184" s="29"/>
      <c r="E184" s="11"/>
      <c r="F184" s="104"/>
    </row>
    <row r="185" spans="1:6" ht="15.75">
      <c r="A185" s="293" t="s">
        <v>136</v>
      </c>
      <c r="B185" s="274"/>
      <c r="C185" s="274"/>
      <c r="D185" s="274"/>
      <c r="E185" s="274"/>
      <c r="F185" s="275"/>
    </row>
    <row r="186" spans="1:6" ht="30" customHeight="1">
      <c r="A186" s="293" t="s">
        <v>198</v>
      </c>
      <c r="B186" s="294"/>
      <c r="C186" s="294"/>
      <c r="D186" s="294"/>
      <c r="E186" s="294"/>
      <c r="F186" s="295"/>
    </row>
    <row r="187" spans="1:6" ht="15">
      <c r="A187" s="166"/>
      <c r="B187" s="101"/>
      <c r="C187" s="101"/>
      <c r="D187" s="101"/>
      <c r="E187" s="101"/>
      <c r="F187" s="140"/>
    </row>
    <row r="188" spans="1:6" ht="15.75">
      <c r="A188" s="109" t="s">
        <v>37</v>
      </c>
      <c r="B188" s="11"/>
      <c r="C188" s="51" t="s">
        <v>30</v>
      </c>
      <c r="D188" s="11"/>
      <c r="E188" s="11"/>
      <c r="F188" s="104"/>
    </row>
    <row r="189" spans="1:6" ht="16.5" thickBot="1">
      <c r="A189" s="113"/>
      <c r="B189" s="25"/>
      <c r="C189" s="52">
        <v>3</v>
      </c>
      <c r="D189" s="11"/>
      <c r="E189" s="11"/>
      <c r="F189" s="104"/>
    </row>
    <row r="190" spans="1:6" ht="16.5" thickBot="1">
      <c r="A190" s="113"/>
      <c r="B190" s="156"/>
      <c r="C190" s="53">
        <f>ROUND((C98+C115+D182)/3,2)</f>
        <v>0</v>
      </c>
      <c r="D190" s="11"/>
      <c r="E190" s="11"/>
      <c r="F190" s="104"/>
    </row>
    <row r="191" spans="1:6" ht="16.5" thickBot="1">
      <c r="A191" s="118"/>
      <c r="B191" s="180" t="s">
        <v>87</v>
      </c>
      <c r="C191" s="143"/>
      <c r="D191" s="143"/>
      <c r="E191" s="143"/>
      <c r="F191" s="132"/>
    </row>
    <row r="192" spans="1:6" ht="15.75">
      <c r="A192" s="135" t="s">
        <v>82</v>
      </c>
      <c r="B192" s="145"/>
      <c r="C192" s="145"/>
      <c r="D192" s="145"/>
      <c r="E192" s="145"/>
      <c r="F192" s="105"/>
    </row>
    <row r="193" spans="1:7" s="7" customFormat="1" ht="72" customHeight="1">
      <c r="A193" s="296" t="s">
        <v>216</v>
      </c>
      <c r="B193" s="297"/>
      <c r="C193" s="297"/>
      <c r="D193" s="297"/>
      <c r="E193" s="297"/>
      <c r="F193" s="298"/>
      <c r="G193" s="54"/>
    </row>
    <row r="194" spans="1:7" s="7" customFormat="1" ht="16.5" thickBot="1">
      <c r="A194" s="113"/>
      <c r="B194" s="35"/>
      <c r="C194" s="143"/>
      <c r="D194" s="11"/>
      <c r="E194" s="11"/>
      <c r="F194" s="104"/>
      <c r="G194" s="54"/>
    </row>
    <row r="195" spans="1:7" s="7" customFormat="1" ht="30.75" thickBot="1">
      <c r="A195" s="113"/>
      <c r="B195" s="35"/>
      <c r="C195" s="267" t="s">
        <v>46</v>
      </c>
      <c r="D195" s="11"/>
      <c r="E195" s="11"/>
      <c r="F195" s="104"/>
      <c r="G195" s="54"/>
    </row>
    <row r="196" spans="1:7" s="7" customFormat="1" ht="16.5" thickBot="1">
      <c r="A196" s="113" t="s">
        <v>83</v>
      </c>
      <c r="B196" s="11"/>
      <c r="C196" s="268"/>
      <c r="D196" s="11"/>
      <c r="E196" s="11"/>
      <c r="F196" s="104"/>
      <c r="G196" s="54"/>
    </row>
    <row r="197" spans="1:15" s="26" customFormat="1" ht="15.75">
      <c r="A197" s="113"/>
      <c r="B197" s="11"/>
      <c r="C197" s="29">
        <f>C196</f>
        <v>0</v>
      </c>
      <c r="D197" s="11"/>
      <c r="E197" s="11"/>
      <c r="F197" s="104"/>
      <c r="G197" s="55"/>
      <c r="H197" s="7"/>
      <c r="I197" s="7"/>
      <c r="J197" s="7"/>
      <c r="K197" s="7"/>
      <c r="L197" s="7"/>
      <c r="M197" s="7"/>
      <c r="N197" s="7"/>
      <c r="O197" s="7"/>
    </row>
    <row r="198" spans="1:15" s="26" customFormat="1" ht="15.75">
      <c r="A198" s="113"/>
      <c r="B198" s="11"/>
      <c r="C198" s="11"/>
      <c r="D198" s="11"/>
      <c r="E198" s="11"/>
      <c r="F198" s="104"/>
      <c r="G198" s="55"/>
      <c r="H198" s="7"/>
      <c r="I198" s="7"/>
      <c r="J198" s="7"/>
      <c r="K198" s="7"/>
      <c r="L198" s="7"/>
      <c r="M198" s="7"/>
      <c r="N198" s="7"/>
      <c r="O198" s="7"/>
    </row>
    <row r="199" spans="1:15" s="6" customFormat="1" ht="35.25" customHeight="1">
      <c r="A199" s="299" t="s">
        <v>6</v>
      </c>
      <c r="B199" s="301"/>
      <c r="C199" s="301"/>
      <c r="D199" s="30">
        <f>ROUND(C197*1.8,2)</f>
        <v>0</v>
      </c>
      <c r="E199" s="11"/>
      <c r="F199" s="104"/>
      <c r="G199" s="54"/>
      <c r="K199" s="7"/>
      <c r="L199" s="7"/>
      <c r="M199" s="7"/>
      <c r="N199" s="7"/>
      <c r="O199" s="7"/>
    </row>
    <row r="200" spans="1:15" s="6" customFormat="1" ht="15.75">
      <c r="A200" s="113"/>
      <c r="B200" s="11"/>
      <c r="C200" s="11"/>
      <c r="D200" s="29"/>
      <c r="E200" s="11"/>
      <c r="F200" s="104"/>
      <c r="G200" s="54"/>
      <c r="H200" s="7"/>
      <c r="I200" s="7"/>
      <c r="J200" s="7"/>
      <c r="K200" s="7"/>
      <c r="L200" s="7"/>
      <c r="M200" s="7"/>
      <c r="N200" s="7"/>
      <c r="O200" s="7"/>
    </row>
    <row r="201" spans="1:15" s="6" customFormat="1" ht="15">
      <c r="A201" s="303" t="s">
        <v>9</v>
      </c>
      <c r="B201" s="304"/>
      <c r="C201" s="304"/>
      <c r="D201" s="304"/>
      <c r="E201" s="304"/>
      <c r="F201" s="305"/>
      <c r="H201" s="7"/>
      <c r="I201" s="7"/>
      <c r="J201" s="7"/>
      <c r="L201" s="7"/>
      <c r="M201" s="7"/>
      <c r="N201" s="7"/>
      <c r="O201" s="7"/>
    </row>
    <row r="202" spans="1:6" s="7" customFormat="1" ht="15">
      <c r="A202" s="113"/>
      <c r="B202" s="11" t="s">
        <v>23</v>
      </c>
      <c r="C202" s="11"/>
      <c r="D202" s="11"/>
      <c r="E202" s="11"/>
      <c r="F202" s="104"/>
    </row>
    <row r="203" spans="1:6" s="7" customFormat="1" ht="33.75" customHeight="1">
      <c r="A203" s="269" t="s">
        <v>31</v>
      </c>
      <c r="B203" s="311" t="s">
        <v>168</v>
      </c>
      <c r="C203" s="311"/>
      <c r="D203" s="311"/>
      <c r="E203" s="311"/>
      <c r="F203" s="312"/>
    </row>
    <row r="204" spans="1:6" s="7" customFormat="1" ht="48" customHeight="1">
      <c r="A204" s="269" t="s">
        <v>32</v>
      </c>
      <c r="B204" s="311" t="s">
        <v>169</v>
      </c>
      <c r="C204" s="311"/>
      <c r="D204" s="311"/>
      <c r="E204" s="311"/>
      <c r="F204" s="312"/>
    </row>
    <row r="205" spans="1:6" s="7" customFormat="1" ht="15">
      <c r="A205" s="269"/>
      <c r="B205" s="35"/>
      <c r="C205" s="35"/>
      <c r="D205" s="35"/>
      <c r="E205" s="35"/>
      <c r="F205" s="112"/>
    </row>
    <row r="206" spans="1:6" s="7" customFormat="1" ht="35.25" customHeight="1">
      <c r="A206" s="299" t="s">
        <v>84</v>
      </c>
      <c r="B206" s="311"/>
      <c r="C206" s="311"/>
      <c r="D206" s="311"/>
      <c r="E206" s="311"/>
      <c r="F206" s="312"/>
    </row>
    <row r="207" spans="1:6" s="7" customFormat="1" ht="15.75" thickBot="1">
      <c r="A207" s="113"/>
      <c r="B207" s="11"/>
      <c r="C207" s="11"/>
      <c r="D207" s="11"/>
      <c r="E207" s="11"/>
      <c r="F207" s="104"/>
    </row>
    <row r="208" spans="1:15" ht="45.75" thickBot="1">
      <c r="A208" s="9" t="s">
        <v>33</v>
      </c>
      <c r="B208" s="9" t="s">
        <v>34</v>
      </c>
      <c r="C208" s="9" t="s">
        <v>35</v>
      </c>
      <c r="D208" s="9" t="s">
        <v>170</v>
      </c>
      <c r="E208" s="9" t="s">
        <v>171</v>
      </c>
      <c r="F208" s="9" t="s">
        <v>69</v>
      </c>
      <c r="G208" s="7"/>
      <c r="H208" s="7"/>
      <c r="I208" s="7"/>
      <c r="J208" s="7"/>
      <c r="K208" s="7"/>
      <c r="L208" s="7"/>
      <c r="M208" s="15"/>
      <c r="N208" s="15"/>
      <c r="O208" s="15"/>
    </row>
    <row r="209" spans="1:15" ht="15.75">
      <c r="A209" s="241"/>
      <c r="B209" s="240"/>
      <c r="C209" s="240"/>
      <c r="D209" s="245"/>
      <c r="E209" s="167" t="str">
        <f>IF($D$209&lt;40,"1",IF($D$209&gt;=100,"2","1.5"))</f>
        <v>1</v>
      </c>
      <c r="F209" s="168">
        <f>(B209*E209)+(C209*3)</f>
        <v>0</v>
      </c>
      <c r="G209" s="18"/>
      <c r="M209" s="15"/>
      <c r="N209" s="15"/>
      <c r="O209" s="15"/>
    </row>
    <row r="210" spans="1:15" ht="15.75">
      <c r="A210" s="241"/>
      <c r="B210" s="240"/>
      <c r="C210" s="240"/>
      <c r="D210" s="246"/>
      <c r="E210" s="169" t="str">
        <f>IF($D$210&lt;40,"1",IF($D$210&gt;=100,"2","1.5"))</f>
        <v>1</v>
      </c>
      <c r="F210" s="170">
        <f>(B210*E210)+(C210*3)</f>
        <v>0</v>
      </c>
      <c r="G210" s="18"/>
      <c r="M210" s="15"/>
      <c r="N210" s="15"/>
      <c r="O210" s="15"/>
    </row>
    <row r="211" spans="1:7" ht="15">
      <c r="A211" s="208"/>
      <c r="B211" s="210"/>
      <c r="C211" s="210"/>
      <c r="D211" s="247"/>
      <c r="E211" s="169" t="str">
        <f>IF($D$211&lt;40,"1",IF($D$211&gt;=100,"2","1.5"))</f>
        <v>1</v>
      </c>
      <c r="F211" s="170">
        <f>(B211*E211)+(C211*3)</f>
        <v>0</v>
      </c>
      <c r="G211" s="18"/>
    </row>
    <row r="212" spans="1:7" ht="15">
      <c r="A212" s="208" t="s">
        <v>15</v>
      </c>
      <c r="B212" s="210"/>
      <c r="C212" s="210"/>
      <c r="D212" s="247"/>
      <c r="E212" s="169" t="str">
        <f>IF($D$212&lt;40,"1",IF($D$212&gt;=100,"2","1.5"))</f>
        <v>1</v>
      </c>
      <c r="F212" s="170">
        <f>(B212*E212)+(C212*3)</f>
        <v>0</v>
      </c>
      <c r="G212" s="18"/>
    </row>
    <row r="213" spans="1:7" ht="15.75" thickBot="1">
      <c r="A213" s="236"/>
      <c r="B213" s="211"/>
      <c r="C213" s="211"/>
      <c r="D213" s="248"/>
      <c r="E213" s="171" t="str">
        <f>IF($D$213&lt;40,"1",IF($D$213&gt;=100,"2","1.5"))</f>
        <v>1</v>
      </c>
      <c r="F213" s="172">
        <f>(B213*E213)+(C213*3)</f>
        <v>0</v>
      </c>
      <c r="G213" s="18"/>
    </row>
    <row r="214" spans="1:7" ht="15.75">
      <c r="A214" s="113" t="s">
        <v>36</v>
      </c>
      <c r="B214" s="11"/>
      <c r="C214" s="11"/>
      <c r="D214" s="11"/>
      <c r="E214" s="11"/>
      <c r="F214" s="131">
        <f>F209+F210+F211+F212+F213</f>
        <v>0</v>
      </c>
      <c r="G214" s="18"/>
    </row>
    <row r="215" spans="1:7" ht="15">
      <c r="A215" s="113"/>
      <c r="B215" s="11"/>
      <c r="C215" s="11"/>
      <c r="D215" s="11"/>
      <c r="E215" s="11"/>
      <c r="F215" s="104"/>
      <c r="G215" s="18"/>
    </row>
    <row r="216" spans="1:7" ht="16.5" thickBot="1">
      <c r="A216" s="113"/>
      <c r="B216" s="90" t="s">
        <v>3</v>
      </c>
      <c r="C216" s="11"/>
      <c r="D216" s="11"/>
      <c r="E216" s="11"/>
      <c r="F216" s="104"/>
      <c r="G216" s="18"/>
    </row>
    <row r="217" spans="1:7" ht="15">
      <c r="A217" s="113"/>
      <c r="B217" s="46" t="s">
        <v>18</v>
      </c>
      <c r="C217" s="46">
        <v>100</v>
      </c>
      <c r="D217" s="11"/>
      <c r="E217" s="11"/>
      <c r="F217" s="104"/>
      <c r="G217" s="18"/>
    </row>
    <row r="218" spans="1:12" ht="15">
      <c r="A218" s="113"/>
      <c r="B218" s="61" t="s">
        <v>24</v>
      </c>
      <c r="C218" s="61">
        <v>100</v>
      </c>
      <c r="D218" s="35"/>
      <c r="E218" s="35"/>
      <c r="F218" s="104"/>
      <c r="G218" s="18"/>
      <c r="L218" s="56"/>
    </row>
    <row r="219" spans="1:12" ht="30">
      <c r="A219" s="113"/>
      <c r="B219" s="61" t="s">
        <v>25</v>
      </c>
      <c r="C219" s="61">
        <v>90</v>
      </c>
      <c r="D219" s="35"/>
      <c r="E219" s="35"/>
      <c r="F219" s="104"/>
      <c r="G219" s="18"/>
      <c r="L219" s="56"/>
    </row>
    <row r="220" spans="1:12" ht="15">
      <c r="A220" s="113"/>
      <c r="B220" s="61" t="s">
        <v>26</v>
      </c>
      <c r="C220" s="61">
        <v>90</v>
      </c>
      <c r="D220" s="35"/>
      <c r="E220" s="35"/>
      <c r="F220" s="104"/>
      <c r="G220" s="18"/>
      <c r="L220" s="56"/>
    </row>
    <row r="221" spans="1:12" ht="16.5" thickBot="1">
      <c r="A221" s="111"/>
      <c r="B221" s="95" t="s">
        <v>204</v>
      </c>
      <c r="C221" s="95">
        <v>50</v>
      </c>
      <c r="D221" s="35"/>
      <c r="E221" s="35"/>
      <c r="F221" s="104"/>
      <c r="G221" s="18"/>
      <c r="L221" s="56"/>
    </row>
    <row r="222" spans="1:12" ht="15.75">
      <c r="A222" s="111"/>
      <c r="B222" s="23"/>
      <c r="C222" s="23"/>
      <c r="D222" s="35"/>
      <c r="E222" s="35"/>
      <c r="F222" s="104"/>
      <c r="G222" s="18"/>
      <c r="L222" s="56"/>
    </row>
    <row r="223" spans="1:12" ht="15.75" thickBot="1">
      <c r="A223" s="111"/>
      <c r="B223" s="35"/>
      <c r="C223" s="35"/>
      <c r="D223" s="35"/>
      <c r="E223" s="35"/>
      <c r="F223" s="104"/>
      <c r="G223" s="18"/>
      <c r="L223" s="56"/>
    </row>
    <row r="224" spans="1:12" ht="15.75" thickBot="1">
      <c r="A224" s="111"/>
      <c r="B224" s="9" t="s">
        <v>28</v>
      </c>
      <c r="C224" s="27" t="s">
        <v>49</v>
      </c>
      <c r="D224" s="9" t="s">
        <v>120</v>
      </c>
      <c r="E224" s="35"/>
      <c r="F224" s="104"/>
      <c r="G224" s="18"/>
      <c r="L224" s="56"/>
    </row>
    <row r="225" spans="1:7" ht="15">
      <c r="A225" s="113"/>
      <c r="B225" s="138"/>
      <c r="C225" s="138"/>
      <c r="D225" s="138"/>
      <c r="E225" s="11"/>
      <c r="F225" s="104"/>
      <c r="G225" s="18"/>
    </row>
    <row r="226" spans="1:7" ht="15">
      <c r="A226" s="113"/>
      <c r="B226" s="173" t="s">
        <v>172</v>
      </c>
      <c r="C226" s="57">
        <v>2</v>
      </c>
      <c r="D226" s="57" t="str">
        <f>IF($F$214&lt;9,"2",0)</f>
        <v>2</v>
      </c>
      <c r="E226" s="11"/>
      <c r="F226" s="104"/>
      <c r="G226" s="18"/>
    </row>
    <row r="227" spans="1:7" ht="15">
      <c r="A227" s="113"/>
      <c r="B227" s="174" t="s">
        <v>173</v>
      </c>
      <c r="C227" s="47">
        <v>3</v>
      </c>
      <c r="D227" s="47" t="b">
        <f>IF($F$214&gt;=10,IF($F$214&lt;=29,"3",0))</f>
        <v>0</v>
      </c>
      <c r="E227" s="11"/>
      <c r="F227" s="104"/>
      <c r="G227" s="18"/>
    </row>
    <row r="228" spans="1:7" ht="15">
      <c r="A228" s="113"/>
      <c r="B228" s="175" t="s">
        <v>174</v>
      </c>
      <c r="C228" s="47">
        <v>4</v>
      </c>
      <c r="D228" s="47" t="b">
        <f>IF($F$214&gt;=30,IF($F$214&lt;=49,"4",0))</f>
        <v>0</v>
      </c>
      <c r="E228" s="11"/>
      <c r="F228" s="104"/>
      <c r="G228" s="18"/>
    </row>
    <row r="229" spans="1:7" ht="15">
      <c r="A229" s="113"/>
      <c r="B229" s="175" t="s">
        <v>175</v>
      </c>
      <c r="C229" s="47">
        <v>5</v>
      </c>
      <c r="D229" s="47" t="b">
        <f>IF($F$214&gt;=50,IF($F$214&lt;=59,"5",0))</f>
        <v>0</v>
      </c>
      <c r="E229" s="11"/>
      <c r="F229" s="104"/>
      <c r="G229" s="18"/>
    </row>
    <row r="230" spans="1:7" ht="15">
      <c r="A230" s="113"/>
      <c r="B230" s="175" t="s">
        <v>176</v>
      </c>
      <c r="C230" s="47">
        <v>6</v>
      </c>
      <c r="D230" s="47" t="b">
        <f>IF($F$214&gt;=60,IF($F$214&lt;=70,"6",0))</f>
        <v>0</v>
      </c>
      <c r="E230" s="11"/>
      <c r="F230" s="104"/>
      <c r="G230" s="18"/>
    </row>
    <row r="231" spans="1:7" ht="15">
      <c r="A231" s="113"/>
      <c r="B231" s="175" t="s">
        <v>177</v>
      </c>
      <c r="C231" s="47">
        <v>7</v>
      </c>
      <c r="D231" s="47" t="b">
        <f>IF($F$214&gt;=71,IF($F$214&lt;=80,"7",0))</f>
        <v>0</v>
      </c>
      <c r="E231" s="11"/>
      <c r="F231" s="104"/>
      <c r="G231" s="18"/>
    </row>
    <row r="232" spans="1:15" ht="15">
      <c r="A232" s="113"/>
      <c r="B232" s="175" t="s">
        <v>178</v>
      </c>
      <c r="C232" s="47">
        <v>8</v>
      </c>
      <c r="D232" s="47" t="b">
        <f>IF($F$214&gt;=81,IF($F$214&lt;=90,"8",0))</f>
        <v>0</v>
      </c>
      <c r="E232" s="11"/>
      <c r="F232" s="104"/>
      <c r="G232" s="18"/>
      <c r="M232" s="12"/>
      <c r="N232" s="12"/>
      <c r="O232" s="12"/>
    </row>
    <row r="233" spans="1:7" ht="15.75" thickBot="1">
      <c r="A233" s="113"/>
      <c r="B233" s="176" t="s">
        <v>179</v>
      </c>
      <c r="C233" s="50">
        <v>9</v>
      </c>
      <c r="D233" s="50">
        <f>IF($F$214&gt;=91,"9",0)</f>
        <v>0</v>
      </c>
      <c r="E233" s="11"/>
      <c r="F233" s="104"/>
      <c r="G233" s="18"/>
    </row>
    <row r="234" spans="1:7" ht="30" customHeight="1">
      <c r="A234" s="293" t="s">
        <v>4</v>
      </c>
      <c r="B234" s="294"/>
      <c r="C234" s="294"/>
      <c r="D234" s="59">
        <f>D225+D226+D227+D228+D229+D230+D231+D232+D233</f>
        <v>2</v>
      </c>
      <c r="E234" s="11"/>
      <c r="F234" s="104"/>
      <c r="G234" s="18"/>
    </row>
    <row r="235" spans="1:7" ht="15">
      <c r="A235" s="113"/>
      <c r="B235" s="11"/>
      <c r="C235" s="11"/>
      <c r="D235" s="11"/>
      <c r="E235" s="11"/>
      <c r="F235" s="104"/>
      <c r="G235" s="18"/>
    </row>
    <row r="236" spans="1:7" ht="15.75">
      <c r="A236" s="109" t="s">
        <v>71</v>
      </c>
      <c r="B236" s="11"/>
      <c r="C236" s="60" t="s">
        <v>53</v>
      </c>
      <c r="D236" s="11"/>
      <c r="E236" s="11"/>
      <c r="F236" s="104"/>
      <c r="G236" s="18"/>
    </row>
    <row r="237" spans="1:7" ht="16.5" thickBot="1">
      <c r="A237" s="113"/>
      <c r="B237" s="13"/>
      <c r="C237" s="52">
        <v>2</v>
      </c>
      <c r="D237" s="11"/>
      <c r="E237" s="11"/>
      <c r="F237" s="104"/>
      <c r="G237" s="18"/>
    </row>
    <row r="238" spans="1:7" ht="16.5" thickBot="1">
      <c r="A238" s="113"/>
      <c r="B238" s="3"/>
      <c r="C238" s="53">
        <f>ROUND((D199+D234)/2,2)</f>
        <v>1</v>
      </c>
      <c r="D238" s="11"/>
      <c r="E238" s="11"/>
      <c r="F238" s="133"/>
      <c r="G238" s="18"/>
    </row>
    <row r="239" spans="1:15" ht="15.75" thickBot="1">
      <c r="A239" s="118"/>
      <c r="B239" s="143"/>
      <c r="C239" s="143"/>
      <c r="D239" s="143"/>
      <c r="E239" s="143"/>
      <c r="F239" s="181"/>
      <c r="G239" s="18"/>
      <c r="M239" s="41"/>
      <c r="N239" s="41"/>
      <c r="O239" s="41"/>
    </row>
    <row r="240" spans="1:6" ht="15.75">
      <c r="A240" s="322" t="s">
        <v>217</v>
      </c>
      <c r="B240" s="323"/>
      <c r="C240" s="323"/>
      <c r="D240" s="323"/>
      <c r="E240" s="323"/>
      <c r="F240" s="324"/>
    </row>
    <row r="241" spans="1:7" ht="99.75" customHeight="1">
      <c r="A241" s="293" t="s">
        <v>54</v>
      </c>
      <c r="B241" s="304"/>
      <c r="C241" s="304"/>
      <c r="D241" s="304"/>
      <c r="E241" s="304"/>
      <c r="F241" s="305"/>
      <c r="G241" s="18"/>
    </row>
    <row r="242" spans="1:7" ht="15">
      <c r="A242" s="113"/>
      <c r="B242" s="13"/>
      <c r="C242" s="101"/>
      <c r="D242" s="101"/>
      <c r="E242" s="101"/>
      <c r="F242" s="140"/>
      <c r="G242" s="18"/>
    </row>
    <row r="243" spans="1:7" ht="69.75" customHeight="1">
      <c r="A243" s="293" t="s">
        <v>112</v>
      </c>
      <c r="B243" s="304"/>
      <c r="C243" s="304"/>
      <c r="D243" s="304"/>
      <c r="E243" s="304"/>
      <c r="F243" s="305"/>
      <c r="G243" s="18"/>
    </row>
    <row r="244" spans="1:10" ht="15">
      <c r="A244" s="113"/>
      <c r="B244" s="13"/>
      <c r="C244" s="13"/>
      <c r="D244" s="13"/>
      <c r="E244" s="13"/>
      <c r="F244" s="121"/>
      <c r="G244" s="18"/>
      <c r="H244" s="41"/>
      <c r="I244" s="41"/>
      <c r="J244" s="41"/>
    </row>
    <row r="245" spans="1:7" ht="16.5" thickBot="1">
      <c r="A245" s="114" t="s">
        <v>128</v>
      </c>
      <c r="B245" s="13"/>
      <c r="C245" s="11"/>
      <c r="D245" s="11"/>
      <c r="E245" s="11"/>
      <c r="F245" s="104"/>
      <c r="G245" s="18"/>
    </row>
    <row r="246" spans="1:10" s="41" customFormat="1" ht="45.75" thickBot="1">
      <c r="A246" s="155"/>
      <c r="B246" s="9" t="s">
        <v>44</v>
      </c>
      <c r="C246" s="318" t="s">
        <v>19</v>
      </c>
      <c r="D246" s="319"/>
      <c r="E246" s="52"/>
      <c r="F246" s="124"/>
      <c r="G246" s="148"/>
      <c r="H246" s="18"/>
      <c r="I246" s="18"/>
      <c r="J246" s="18"/>
    </row>
    <row r="247" spans="1:6" ht="15.75">
      <c r="A247" s="113"/>
      <c r="B247" s="249"/>
      <c r="C247" s="308"/>
      <c r="D247" s="309"/>
      <c r="E247" s="59"/>
      <c r="F247" s="104"/>
    </row>
    <row r="248" spans="1:6" ht="15.75">
      <c r="A248" s="113"/>
      <c r="B248" s="249"/>
      <c r="C248" s="306"/>
      <c r="D248" s="307"/>
      <c r="E248" s="59"/>
      <c r="F248" s="104"/>
    </row>
    <row r="249" spans="1:6" ht="15.75">
      <c r="A249" s="113"/>
      <c r="B249" s="249"/>
      <c r="C249" s="306"/>
      <c r="D249" s="307"/>
      <c r="E249" s="59"/>
      <c r="F249" s="104"/>
    </row>
    <row r="250" spans="1:6" ht="15.75">
      <c r="A250" s="113"/>
      <c r="B250" s="249"/>
      <c r="C250" s="306"/>
      <c r="D250" s="307"/>
      <c r="E250" s="59"/>
      <c r="F250" s="104"/>
    </row>
    <row r="251" spans="1:6" ht="15.75">
      <c r="A251" s="113"/>
      <c r="B251" s="249"/>
      <c r="C251" s="306"/>
      <c r="D251" s="307"/>
      <c r="E251" s="59"/>
      <c r="F251" s="104"/>
    </row>
    <row r="252" spans="1:6" ht="15.75">
      <c r="A252" s="113"/>
      <c r="B252" s="249" t="s">
        <v>15</v>
      </c>
      <c r="C252" s="306"/>
      <c r="D252" s="307"/>
      <c r="E252" s="59"/>
      <c r="F252" s="104"/>
    </row>
    <row r="253" spans="1:6" ht="15.75">
      <c r="A253" s="113"/>
      <c r="B253" s="249" t="s">
        <v>15</v>
      </c>
      <c r="C253" s="306"/>
      <c r="D253" s="307"/>
      <c r="E253" s="59"/>
      <c r="F253" s="104"/>
    </row>
    <row r="254" spans="1:6" ht="15.75">
      <c r="A254" s="113"/>
      <c r="B254" s="249"/>
      <c r="C254" s="306"/>
      <c r="D254" s="307"/>
      <c r="E254" s="59"/>
      <c r="F254" s="104"/>
    </row>
    <row r="255" spans="1:6" ht="15.75">
      <c r="A255" s="113"/>
      <c r="B255" s="207"/>
      <c r="C255" s="306"/>
      <c r="D255" s="307"/>
      <c r="E255" s="59"/>
      <c r="F255" s="104"/>
    </row>
    <row r="256" spans="1:6" ht="16.5" thickBot="1">
      <c r="A256" s="113"/>
      <c r="B256" s="211"/>
      <c r="C256" s="325"/>
      <c r="D256" s="326"/>
      <c r="E256" s="59"/>
      <c r="F256" s="104"/>
    </row>
    <row r="257" spans="1:10" ht="15.75">
      <c r="A257" s="113"/>
      <c r="B257" s="62">
        <f>COUNT(B247:B256)</f>
        <v>0</v>
      </c>
      <c r="C257" s="11"/>
      <c r="D257" s="11"/>
      <c r="E257" s="59"/>
      <c r="F257" s="104"/>
      <c r="H257" s="41"/>
      <c r="I257" s="41"/>
      <c r="J257" s="41"/>
    </row>
    <row r="258" spans="1:6" ht="16.5" thickBot="1">
      <c r="A258" s="113"/>
      <c r="B258" s="11"/>
      <c r="C258" s="11"/>
      <c r="D258" s="11"/>
      <c r="E258" s="59"/>
      <c r="F258" s="104"/>
    </row>
    <row r="259" spans="1:10" s="41" customFormat="1" ht="15.75" thickBot="1">
      <c r="A259" s="155"/>
      <c r="B259" s="27"/>
      <c r="C259" s="27" t="s">
        <v>49</v>
      </c>
      <c r="D259" s="9" t="s">
        <v>120</v>
      </c>
      <c r="E259" s="146"/>
      <c r="F259" s="124"/>
      <c r="G259" s="148"/>
      <c r="H259" s="18"/>
      <c r="I259" s="18"/>
      <c r="J259" s="18"/>
    </row>
    <row r="260" spans="1:6" ht="30">
      <c r="A260" s="113"/>
      <c r="B260" s="46" t="s">
        <v>130</v>
      </c>
      <c r="C260" s="46">
        <v>0</v>
      </c>
      <c r="D260" s="144" t="str">
        <f>IF($B$257=0,"0",0)</f>
        <v>0</v>
      </c>
      <c r="E260" s="25"/>
      <c r="F260" s="121"/>
    </row>
    <row r="261" spans="1:6" ht="30">
      <c r="A261" s="113"/>
      <c r="B261" s="61" t="s">
        <v>131</v>
      </c>
      <c r="C261" s="48">
        <v>5</v>
      </c>
      <c r="D261" s="47">
        <f>IF($B$257=1,"5",0)</f>
        <v>0</v>
      </c>
      <c r="E261" s="25"/>
      <c r="F261" s="121"/>
    </row>
    <row r="262" spans="1:6" ht="30">
      <c r="A262" s="113"/>
      <c r="B262" s="61" t="s">
        <v>132</v>
      </c>
      <c r="C262" s="48">
        <v>7</v>
      </c>
      <c r="D262" s="47">
        <f>IF($B$257=2,"7",0)</f>
        <v>0</v>
      </c>
      <c r="E262" s="25"/>
      <c r="F262" s="121"/>
    </row>
    <row r="263" spans="1:6" ht="30">
      <c r="A263" s="113"/>
      <c r="B263" s="61" t="s">
        <v>134</v>
      </c>
      <c r="C263" s="92">
        <v>8</v>
      </c>
      <c r="D263" s="47">
        <f>IF($B$257=3,"8",0)</f>
        <v>0</v>
      </c>
      <c r="E263" s="25"/>
      <c r="F263" s="121"/>
    </row>
    <row r="264" spans="1:6" ht="30.75" thickBot="1">
      <c r="A264" s="113"/>
      <c r="B264" s="49" t="s">
        <v>16</v>
      </c>
      <c r="C264" s="58">
        <v>9</v>
      </c>
      <c r="D264" s="50">
        <f>IF($B$257&gt;=4,"9",0)</f>
        <v>0</v>
      </c>
      <c r="E264" s="25"/>
      <c r="F264" s="121"/>
    </row>
    <row r="265" spans="1:6" ht="15.75">
      <c r="A265" s="113"/>
      <c r="B265" s="11"/>
      <c r="C265" s="11"/>
      <c r="D265" s="29">
        <f>D260+D261+D262+D263+D264</f>
        <v>0</v>
      </c>
      <c r="E265" s="62"/>
      <c r="F265" s="121"/>
    </row>
    <row r="266" spans="1:6" ht="15.75">
      <c r="A266" s="113"/>
      <c r="B266" s="13"/>
      <c r="C266" s="11"/>
      <c r="D266" s="11"/>
      <c r="E266" s="59"/>
      <c r="F266" s="121"/>
    </row>
    <row r="267" spans="1:6" ht="15.75">
      <c r="A267" s="113" t="s">
        <v>38</v>
      </c>
      <c r="B267" s="13"/>
      <c r="C267" s="59"/>
      <c r="D267" s="30">
        <f>D265</f>
        <v>0</v>
      </c>
      <c r="E267" s="59"/>
      <c r="F267" s="121"/>
    </row>
    <row r="268" spans="1:6" ht="15.75">
      <c r="A268" s="113"/>
      <c r="B268" s="13"/>
      <c r="C268" s="11"/>
      <c r="D268" s="11"/>
      <c r="E268" s="59"/>
      <c r="F268" s="121"/>
    </row>
    <row r="269" spans="1:6" ht="91.5" customHeight="1">
      <c r="A269" s="293" t="s">
        <v>201</v>
      </c>
      <c r="B269" s="304"/>
      <c r="C269" s="304"/>
      <c r="D269" s="304"/>
      <c r="E269" s="304"/>
      <c r="F269" s="305"/>
    </row>
    <row r="270" spans="1:10" ht="15.75">
      <c r="A270" s="113"/>
      <c r="B270" s="310"/>
      <c r="C270" s="310"/>
      <c r="D270" s="11"/>
      <c r="E270" s="11"/>
      <c r="F270" s="104"/>
      <c r="H270" s="41"/>
      <c r="I270" s="41"/>
      <c r="J270" s="41"/>
    </row>
    <row r="271" spans="1:6" ht="16.5" thickBot="1">
      <c r="A271" s="114" t="s">
        <v>129</v>
      </c>
      <c r="B271" s="11"/>
      <c r="C271" s="11"/>
      <c r="D271" s="11"/>
      <c r="E271" s="11"/>
      <c r="F271" s="104"/>
    </row>
    <row r="272" spans="1:10" s="41" customFormat="1" ht="45.75" thickBot="1">
      <c r="A272" s="155"/>
      <c r="B272" s="9" t="s">
        <v>44</v>
      </c>
      <c r="C272" s="318" t="s">
        <v>19</v>
      </c>
      <c r="D272" s="319"/>
      <c r="E272" s="52"/>
      <c r="F272" s="124"/>
      <c r="G272" s="148"/>
      <c r="H272" s="18"/>
      <c r="I272" s="18"/>
      <c r="J272" s="18"/>
    </row>
    <row r="273" spans="1:6" ht="15.75">
      <c r="A273" s="113"/>
      <c r="B273" s="250"/>
      <c r="C273" s="308"/>
      <c r="D273" s="309"/>
      <c r="E273" s="59"/>
      <c r="F273" s="121"/>
    </row>
    <row r="274" spans="1:6" ht="15.75">
      <c r="A274" s="113"/>
      <c r="B274" s="251"/>
      <c r="C274" s="306"/>
      <c r="D274" s="307"/>
      <c r="E274" s="59"/>
      <c r="F274" s="121"/>
    </row>
    <row r="275" spans="1:6" ht="15.75">
      <c r="A275" s="113"/>
      <c r="B275" s="251"/>
      <c r="C275" s="306"/>
      <c r="D275" s="307"/>
      <c r="E275" s="59"/>
      <c r="F275" s="121"/>
    </row>
    <row r="276" spans="1:6" ht="15.75">
      <c r="A276" s="113"/>
      <c r="B276" s="251"/>
      <c r="C276" s="306"/>
      <c r="D276" s="307"/>
      <c r="E276" s="59"/>
      <c r="F276" s="121"/>
    </row>
    <row r="277" spans="1:6" ht="15.75">
      <c r="A277" s="113"/>
      <c r="B277" s="251"/>
      <c r="C277" s="306"/>
      <c r="D277" s="307"/>
      <c r="E277" s="59"/>
      <c r="F277" s="121"/>
    </row>
    <row r="278" spans="1:6" ht="15.75">
      <c r="A278" s="113"/>
      <c r="B278" s="252" t="s">
        <v>15</v>
      </c>
      <c r="C278" s="306"/>
      <c r="D278" s="307"/>
      <c r="E278" s="59"/>
      <c r="F278" s="121"/>
    </row>
    <row r="279" spans="1:6" ht="15.75">
      <c r="A279" s="113"/>
      <c r="B279" s="253" t="s">
        <v>15</v>
      </c>
      <c r="C279" s="306"/>
      <c r="D279" s="307"/>
      <c r="E279" s="59"/>
      <c r="F279" s="121"/>
    </row>
    <row r="280" spans="1:6" ht="15.75">
      <c r="A280" s="113"/>
      <c r="B280" s="253"/>
      <c r="C280" s="306"/>
      <c r="D280" s="307"/>
      <c r="E280" s="59"/>
      <c r="F280" s="121"/>
    </row>
    <row r="281" spans="1:6" ht="15.75">
      <c r="A281" s="113"/>
      <c r="B281" s="253"/>
      <c r="C281" s="306"/>
      <c r="D281" s="307"/>
      <c r="E281" s="59"/>
      <c r="F281" s="121"/>
    </row>
    <row r="282" spans="1:6" ht="16.5" thickBot="1">
      <c r="A282" s="113"/>
      <c r="B282" s="254"/>
      <c r="C282" s="325"/>
      <c r="D282" s="326"/>
      <c r="E282" s="59"/>
      <c r="F282" s="121"/>
    </row>
    <row r="283" spans="1:10" ht="16.5" thickBot="1">
      <c r="A283" s="118"/>
      <c r="B283" s="119">
        <f>COUNT(B273:B282)</f>
        <v>0</v>
      </c>
      <c r="C283" s="143"/>
      <c r="D283" s="143"/>
      <c r="E283" s="103"/>
      <c r="F283" s="134"/>
      <c r="H283" s="41"/>
      <c r="I283" s="41"/>
      <c r="J283" s="41"/>
    </row>
    <row r="284" spans="1:6" ht="16.5" thickBot="1">
      <c r="A284" s="147"/>
      <c r="B284" s="145"/>
      <c r="C284" s="145"/>
      <c r="D284" s="145"/>
      <c r="E284" s="178"/>
      <c r="F284" s="179"/>
    </row>
    <row r="285" spans="1:10" s="41" customFormat="1" ht="15.75" thickBot="1">
      <c r="A285" s="155"/>
      <c r="B285" s="27"/>
      <c r="C285" s="27" t="s">
        <v>17</v>
      </c>
      <c r="D285" s="9" t="s">
        <v>120</v>
      </c>
      <c r="E285" s="146"/>
      <c r="F285" s="124"/>
      <c r="G285" s="148"/>
      <c r="H285" s="18"/>
      <c r="I285" s="18"/>
      <c r="J285" s="18"/>
    </row>
    <row r="286" spans="1:6" ht="30">
      <c r="A286" s="113"/>
      <c r="B286" s="46" t="s">
        <v>130</v>
      </c>
      <c r="C286" s="46">
        <v>0</v>
      </c>
      <c r="D286" s="144" t="str">
        <f>IF($B$283=0,"0",0)</f>
        <v>0</v>
      </c>
      <c r="E286" s="25"/>
      <c r="F286" s="104"/>
    </row>
    <row r="287" spans="1:6" ht="30">
      <c r="A287" s="113"/>
      <c r="B287" s="61" t="s">
        <v>131</v>
      </c>
      <c r="C287" s="48">
        <v>5</v>
      </c>
      <c r="D287" s="47">
        <f>IF($B$283=1,"5",0)</f>
        <v>0</v>
      </c>
      <c r="E287" s="25"/>
      <c r="F287" s="104"/>
    </row>
    <row r="288" spans="1:6" ht="30">
      <c r="A288" s="113"/>
      <c r="B288" s="61" t="s">
        <v>132</v>
      </c>
      <c r="C288" s="48">
        <v>7</v>
      </c>
      <c r="D288" s="47">
        <f>IF($B$283=2,"7",0)</f>
        <v>0</v>
      </c>
      <c r="E288" s="25"/>
      <c r="F288" s="104"/>
    </row>
    <row r="289" spans="1:6" ht="30">
      <c r="A289" s="113"/>
      <c r="B289" s="61" t="s">
        <v>134</v>
      </c>
      <c r="C289" s="92">
        <v>8</v>
      </c>
      <c r="D289" s="47">
        <f>IF($B$283=3,"8",0)</f>
        <v>0</v>
      </c>
      <c r="E289" s="25"/>
      <c r="F289" s="104"/>
    </row>
    <row r="290" spans="1:6" ht="30.75" thickBot="1">
      <c r="A290" s="113"/>
      <c r="B290" s="49" t="s">
        <v>16</v>
      </c>
      <c r="C290" s="58">
        <v>9</v>
      </c>
      <c r="D290" s="50">
        <f>IF($B$283&gt;=4,"9",0)</f>
        <v>0</v>
      </c>
      <c r="E290" s="25"/>
      <c r="F290" s="104"/>
    </row>
    <row r="291" spans="1:6" ht="15.75">
      <c r="A291" s="113"/>
      <c r="B291" s="13"/>
      <c r="C291" s="11"/>
      <c r="D291" s="62">
        <f>D286+D287+D288+D289+D290</f>
        <v>0</v>
      </c>
      <c r="E291" s="11"/>
      <c r="F291" s="104"/>
    </row>
    <row r="292" spans="1:6" ht="15.75">
      <c r="A292" s="113"/>
      <c r="B292" s="11"/>
      <c r="C292" s="11"/>
      <c r="D292" s="11"/>
      <c r="E292" s="59"/>
      <c r="F292" s="104"/>
    </row>
    <row r="293" spans="1:6" ht="15.75">
      <c r="A293" s="113" t="s">
        <v>39</v>
      </c>
      <c r="B293" s="11"/>
      <c r="C293" s="11"/>
      <c r="D293" s="29">
        <f>D291</f>
        <v>0</v>
      </c>
      <c r="E293" s="59"/>
      <c r="F293" s="104"/>
    </row>
    <row r="294" spans="1:6" ht="15.75">
      <c r="A294" s="113"/>
      <c r="B294" s="11"/>
      <c r="C294" s="11"/>
      <c r="D294" s="11"/>
      <c r="E294" s="59"/>
      <c r="F294" s="104"/>
    </row>
    <row r="295" spans="1:6" ht="15.75">
      <c r="A295" s="320" t="s">
        <v>72</v>
      </c>
      <c r="B295" s="321"/>
      <c r="C295" s="60" t="s">
        <v>103</v>
      </c>
      <c r="D295" s="11"/>
      <c r="E295" s="59"/>
      <c r="F295" s="104"/>
    </row>
    <row r="296" spans="1:6" ht="15.75">
      <c r="A296" s="113"/>
      <c r="B296" s="11"/>
      <c r="C296" s="52">
        <v>2</v>
      </c>
      <c r="D296" s="11"/>
      <c r="E296" s="59"/>
      <c r="F296" s="104"/>
    </row>
    <row r="297" spans="1:6" ht="16.5" thickBot="1">
      <c r="A297" s="113"/>
      <c r="B297" s="13"/>
      <c r="C297" s="11"/>
      <c r="D297" s="11"/>
      <c r="E297" s="59"/>
      <c r="F297" s="104"/>
    </row>
    <row r="298" spans="1:7" ht="16.5" thickBot="1">
      <c r="A298" s="113"/>
      <c r="B298" s="11"/>
      <c r="C298" s="53">
        <f>(D267+D293)/2</f>
        <v>0</v>
      </c>
      <c r="D298" s="11"/>
      <c r="E298" s="11"/>
      <c r="F298" s="104"/>
      <c r="G298" s="63"/>
    </row>
    <row r="299" spans="1:6" ht="15.75">
      <c r="A299" s="113"/>
      <c r="B299" s="339"/>
      <c r="C299" s="304"/>
      <c r="D299" s="11"/>
      <c r="E299" s="11"/>
      <c r="F299" s="104"/>
    </row>
    <row r="300" spans="1:6" ht="16.5" thickBot="1">
      <c r="A300" s="114" t="s">
        <v>55</v>
      </c>
      <c r="B300" s="11"/>
      <c r="C300" s="11"/>
      <c r="D300" s="11"/>
      <c r="E300" s="11"/>
      <c r="F300" s="104"/>
    </row>
    <row r="301" spans="1:6" ht="16.5" thickBot="1">
      <c r="A301" s="64" t="s">
        <v>73</v>
      </c>
      <c r="B301" s="65" t="s">
        <v>47</v>
      </c>
      <c r="C301" s="64" t="s">
        <v>120</v>
      </c>
      <c r="D301" s="66" t="s">
        <v>74</v>
      </c>
      <c r="E301" s="67" t="s">
        <v>69</v>
      </c>
      <c r="F301" s="104"/>
    </row>
    <row r="302" spans="1:6" ht="16.5" thickBot="1">
      <c r="A302" s="136" t="s">
        <v>108</v>
      </c>
      <c r="B302" s="157">
        <f>C42</f>
        <v>0</v>
      </c>
      <c r="C302" s="158">
        <f>C190</f>
        <v>0</v>
      </c>
      <c r="D302" s="159">
        <f>C302*10</f>
        <v>0</v>
      </c>
      <c r="E302" s="160">
        <f>B302*D302</f>
        <v>0</v>
      </c>
      <c r="F302" s="104"/>
    </row>
    <row r="303" spans="1:6" ht="16.5" thickBot="1">
      <c r="A303" s="136" t="s">
        <v>107</v>
      </c>
      <c r="B303" s="157">
        <f>C44</f>
        <v>0</v>
      </c>
      <c r="C303" s="158">
        <f>C238</f>
        <v>1</v>
      </c>
      <c r="D303" s="159">
        <f>C303*10</f>
        <v>10</v>
      </c>
      <c r="E303" s="160">
        <f>B303*D303</f>
        <v>0</v>
      </c>
      <c r="F303" s="104"/>
    </row>
    <row r="304" spans="1:6" ht="16.5" thickBot="1">
      <c r="A304" s="136" t="s">
        <v>109</v>
      </c>
      <c r="B304" s="157">
        <f>C46</f>
        <v>0</v>
      </c>
      <c r="C304" s="158">
        <f>C298</f>
        <v>0</v>
      </c>
      <c r="D304" s="159">
        <f>C304*10</f>
        <v>0</v>
      </c>
      <c r="E304" s="160">
        <f>B304*D304</f>
        <v>0</v>
      </c>
      <c r="F304" s="104"/>
    </row>
    <row r="305" spans="1:6" ht="16.5" thickBot="1">
      <c r="A305" s="137" t="s">
        <v>75</v>
      </c>
      <c r="B305" s="161"/>
      <c r="C305" s="161"/>
      <c r="D305" s="53"/>
      <c r="E305" s="53">
        <f>SUM(E302:E304)</f>
        <v>0</v>
      </c>
      <c r="F305" s="104"/>
    </row>
    <row r="306" spans="1:6" ht="29.25" customHeight="1">
      <c r="A306" s="293" t="s">
        <v>85</v>
      </c>
      <c r="B306" s="297"/>
      <c r="C306" s="297"/>
      <c r="D306" s="297"/>
      <c r="E306" s="297"/>
      <c r="F306" s="298"/>
    </row>
    <row r="307" spans="1:10" ht="15.75" thickBot="1">
      <c r="A307" s="113"/>
      <c r="B307" s="13"/>
      <c r="C307" s="11"/>
      <c r="D307" s="11"/>
      <c r="E307" s="11"/>
      <c r="F307" s="104"/>
      <c r="H307" s="12"/>
      <c r="I307" s="74"/>
      <c r="J307" s="74"/>
    </row>
    <row r="308" spans="1:10" ht="33" customHeight="1">
      <c r="A308" s="340" t="s">
        <v>159</v>
      </c>
      <c r="B308" s="335" t="s">
        <v>59</v>
      </c>
      <c r="C308" s="336"/>
      <c r="D308" s="68" t="s">
        <v>62</v>
      </c>
      <c r="E308" s="69" t="s">
        <v>89</v>
      </c>
      <c r="F308" s="70" t="str">
        <f>IF($E$305&gt;=0,IF($E$305&lt;=1800,"N-",0))</f>
        <v>N-</v>
      </c>
      <c r="H308" s="74"/>
      <c r="I308" s="12"/>
      <c r="J308" s="74"/>
    </row>
    <row r="309" spans="1:10" ht="33" customHeight="1">
      <c r="A309" s="341"/>
      <c r="B309" s="337" t="s">
        <v>60</v>
      </c>
      <c r="C309" s="338"/>
      <c r="D309" s="71" t="s">
        <v>51</v>
      </c>
      <c r="E309" s="72" t="s">
        <v>90</v>
      </c>
      <c r="F309" s="73" t="b">
        <f>IF($E$305&gt;=1801,IF($E$305&lt;=2700,"N",0))</f>
        <v>0</v>
      </c>
      <c r="H309" s="56"/>
      <c r="I309" s="74"/>
      <c r="J309" s="74"/>
    </row>
    <row r="310" spans="1:10" ht="33" customHeight="1" thickBot="1">
      <c r="A310" s="342"/>
      <c r="B310" s="333" t="s">
        <v>61</v>
      </c>
      <c r="C310" s="334"/>
      <c r="D310" s="75" t="s">
        <v>88</v>
      </c>
      <c r="E310" s="76" t="s">
        <v>91</v>
      </c>
      <c r="F310" s="77" t="b">
        <f>IF($E$305&gt;=2701,IF($E$305&lt;=3600,"N+",0))</f>
        <v>0</v>
      </c>
      <c r="H310" s="56"/>
      <c r="I310" s="12"/>
      <c r="J310" s="74"/>
    </row>
    <row r="311" spans="1:10" ht="33" customHeight="1">
      <c r="A311" s="340" t="s">
        <v>160</v>
      </c>
      <c r="B311" s="335" t="s">
        <v>63</v>
      </c>
      <c r="C311" s="336"/>
      <c r="D311" s="78" t="s">
        <v>92</v>
      </c>
      <c r="E311" s="69" t="s">
        <v>95</v>
      </c>
      <c r="F311" s="70" t="b">
        <f>IF($E$305&gt;=3601,IF($E$305&lt;=4500,"S-",0))</f>
        <v>0</v>
      </c>
      <c r="H311" s="12"/>
      <c r="I311" s="12"/>
      <c r="J311" s="74"/>
    </row>
    <row r="312" spans="1:10" ht="33" customHeight="1">
      <c r="A312" s="341"/>
      <c r="B312" s="337" t="s">
        <v>64</v>
      </c>
      <c r="C312" s="338"/>
      <c r="D312" s="71" t="s">
        <v>93</v>
      </c>
      <c r="E312" s="72" t="s">
        <v>96</v>
      </c>
      <c r="F312" s="73" t="b">
        <f>IF($E$305&gt;=4501,IF($E$305&lt;=5400,"S",0))</f>
        <v>0</v>
      </c>
      <c r="H312" s="12"/>
      <c r="I312" s="12"/>
      <c r="J312" s="74"/>
    </row>
    <row r="313" spans="1:10" ht="33" customHeight="1" thickBot="1">
      <c r="A313" s="342"/>
      <c r="B313" s="333" t="s">
        <v>10</v>
      </c>
      <c r="C313" s="334"/>
      <c r="D313" s="75" t="s">
        <v>94</v>
      </c>
      <c r="E313" s="76" t="s">
        <v>97</v>
      </c>
      <c r="F313" s="77" t="b">
        <f>IF($E$305&gt;=5401,IF($E$305&lt;=6300,"S+",0))</f>
        <v>0</v>
      </c>
      <c r="H313" s="74"/>
      <c r="I313" s="74"/>
      <c r="J313" s="74"/>
    </row>
    <row r="314" spans="1:10" ht="33" customHeight="1">
      <c r="A314" s="340" t="s">
        <v>161</v>
      </c>
      <c r="B314" s="335" t="s">
        <v>11</v>
      </c>
      <c r="C314" s="336"/>
      <c r="D314" s="69" t="s">
        <v>98</v>
      </c>
      <c r="E314" s="69" t="s">
        <v>100</v>
      </c>
      <c r="F314" s="70" t="b">
        <f>IF($E$305&gt;=6301,IF($E$305&lt;=7200,"M-",0))</f>
        <v>0</v>
      </c>
      <c r="H314" s="56"/>
      <c r="I314" s="12"/>
      <c r="J314" s="74"/>
    </row>
    <row r="315" spans="1:10" ht="33" customHeight="1">
      <c r="A315" s="341"/>
      <c r="B315" s="337" t="s">
        <v>12</v>
      </c>
      <c r="C315" s="338"/>
      <c r="D315" s="72" t="s">
        <v>99</v>
      </c>
      <c r="E315" s="72" t="s">
        <v>101</v>
      </c>
      <c r="F315" s="73" t="b">
        <f>IF($E$305&gt;=7201,IF($E$305&lt;=8100,"M",0))</f>
        <v>0</v>
      </c>
      <c r="H315" s="56"/>
      <c r="I315" s="56"/>
      <c r="J315" s="74"/>
    </row>
    <row r="316" spans="1:10" ht="33" customHeight="1" thickBot="1">
      <c r="A316" s="342"/>
      <c r="B316" s="333" t="s">
        <v>13</v>
      </c>
      <c r="C316" s="334"/>
      <c r="D316" s="75" t="s">
        <v>14</v>
      </c>
      <c r="E316" s="76" t="s">
        <v>102</v>
      </c>
      <c r="F316" s="77" t="b">
        <f>IF($E$305&gt;=8101,IF($E$305&lt;=20000,"M+",0))</f>
        <v>0</v>
      </c>
      <c r="H316" s="56"/>
      <c r="I316" s="56"/>
      <c r="J316" s="74"/>
    </row>
    <row r="317" spans="1:10" s="12" customFormat="1" ht="15.75" thickBot="1">
      <c r="A317" s="31"/>
      <c r="B317" s="11"/>
      <c r="C317" s="11"/>
      <c r="D317" s="11"/>
      <c r="E317" s="11"/>
      <c r="F317" s="104"/>
      <c r="G317" s="38"/>
      <c r="J317" s="74"/>
    </row>
    <row r="318" spans="1:10" ht="32.25" thickBot="1">
      <c r="A318" s="113"/>
      <c r="B318" s="13"/>
      <c r="C318" s="11"/>
      <c r="D318" s="11"/>
      <c r="E318" s="1"/>
      <c r="F318" s="2" t="s">
        <v>50</v>
      </c>
      <c r="H318" s="12"/>
      <c r="I318" s="74"/>
      <c r="J318" s="74"/>
    </row>
    <row r="319" spans="1:10" ht="15.75">
      <c r="A319" s="113"/>
      <c r="B319" s="13"/>
      <c r="C319" s="11"/>
      <c r="D319" s="11"/>
      <c r="E319" s="1"/>
      <c r="F319" s="141"/>
      <c r="H319" s="12"/>
      <c r="I319" s="74"/>
      <c r="J319" s="74"/>
    </row>
    <row r="320" spans="1:10" ht="63.75" customHeight="1">
      <c r="A320" s="327" t="s">
        <v>227</v>
      </c>
      <c r="B320" s="328"/>
      <c r="C320" s="328"/>
      <c r="D320" s="328"/>
      <c r="E320" s="328"/>
      <c r="F320" s="329"/>
      <c r="H320" s="12"/>
      <c r="I320" s="74"/>
      <c r="J320" s="74"/>
    </row>
    <row r="321" spans="1:10" ht="16.5" thickBot="1">
      <c r="A321" s="162"/>
      <c r="B321" s="163"/>
      <c r="C321" s="163"/>
      <c r="D321" s="163"/>
      <c r="E321" s="163"/>
      <c r="F321" s="164"/>
      <c r="H321" s="12"/>
      <c r="I321" s="74"/>
      <c r="J321" s="74"/>
    </row>
    <row r="322" spans="1:10" ht="71.25" customHeight="1" thickBot="1">
      <c r="A322" s="330"/>
      <c r="B322" s="331"/>
      <c r="C322" s="331"/>
      <c r="D322" s="331"/>
      <c r="E322" s="331"/>
      <c r="F322" s="332"/>
      <c r="H322" s="12"/>
      <c r="I322" s="74"/>
      <c r="J322" s="74"/>
    </row>
    <row r="323" spans="1:10" ht="15">
      <c r="A323" s="191"/>
      <c r="B323" s="192"/>
      <c r="C323" s="192"/>
      <c r="D323" s="192"/>
      <c r="E323" s="192"/>
      <c r="F323" s="193"/>
      <c r="H323" s="74"/>
      <c r="I323" s="12"/>
      <c r="J323" s="74"/>
    </row>
    <row r="324" spans="1:6" ht="30">
      <c r="A324" s="194" t="s">
        <v>228</v>
      </c>
      <c r="B324" s="195"/>
      <c r="C324" s="195"/>
      <c r="D324" s="196" t="s">
        <v>202</v>
      </c>
      <c r="E324" s="197"/>
      <c r="F324" s="198"/>
    </row>
    <row r="325" spans="1:6" ht="15.75" thickBot="1">
      <c r="A325" s="118"/>
      <c r="B325" s="142"/>
      <c r="C325" s="143"/>
      <c r="D325" s="143"/>
      <c r="E325" s="143"/>
      <c r="F325" s="132"/>
    </row>
  </sheetData>
  <sheetProtection selectLockedCells="1"/>
  <mergeCells count="71">
    <mergeCell ref="A311:A313"/>
    <mergeCell ref="A314:A316"/>
    <mergeCell ref="B312:C312"/>
    <mergeCell ref="B313:C313"/>
    <mergeCell ref="B314:C314"/>
    <mergeCell ref="B315:C315"/>
    <mergeCell ref="B311:C311"/>
    <mergeCell ref="A320:F320"/>
    <mergeCell ref="A322:F322"/>
    <mergeCell ref="B316:C316"/>
    <mergeCell ref="C280:D280"/>
    <mergeCell ref="B308:C308"/>
    <mergeCell ref="B309:C309"/>
    <mergeCell ref="B310:C310"/>
    <mergeCell ref="B299:C299"/>
    <mergeCell ref="A306:F306"/>
    <mergeCell ref="A308:A310"/>
    <mergeCell ref="A295:B295"/>
    <mergeCell ref="A234:C234"/>
    <mergeCell ref="A240:F240"/>
    <mergeCell ref="C275:D275"/>
    <mergeCell ref="C246:D246"/>
    <mergeCell ref="C247:D247"/>
    <mergeCell ref="C281:D281"/>
    <mergeCell ref="C256:D256"/>
    <mergeCell ref="C282:D282"/>
    <mergeCell ref="C254:D254"/>
    <mergeCell ref="C276:D276"/>
    <mergeCell ref="C248:D248"/>
    <mergeCell ref="C255:D255"/>
    <mergeCell ref="C278:D278"/>
    <mergeCell ref="C272:D272"/>
    <mergeCell ref="C279:D279"/>
    <mergeCell ref="C277:D277"/>
    <mergeCell ref="A269:F269"/>
    <mergeCell ref="A1:F1"/>
    <mergeCell ref="A10:F10"/>
    <mergeCell ref="A15:F15"/>
    <mergeCell ref="A11:F11"/>
    <mergeCell ref="A2:F2"/>
    <mergeCell ref="A3:E3"/>
    <mergeCell ref="A100:F100"/>
    <mergeCell ref="A39:F39"/>
    <mergeCell ref="A49:F49"/>
    <mergeCell ref="A199:C199"/>
    <mergeCell ref="A185:F185"/>
    <mergeCell ref="A186:F186"/>
    <mergeCell ref="B203:F203"/>
    <mergeCell ref="B204:F204"/>
    <mergeCell ref="A206:F206"/>
    <mergeCell ref="A241:F241"/>
    <mergeCell ref="A201:F201"/>
    <mergeCell ref="C274:D274"/>
    <mergeCell ref="A243:F243"/>
    <mergeCell ref="C252:D252"/>
    <mergeCell ref="C253:D253"/>
    <mergeCell ref="C249:D249"/>
    <mergeCell ref="C250:D250"/>
    <mergeCell ref="C251:D251"/>
    <mergeCell ref="C273:D273"/>
    <mergeCell ref="B270:C270"/>
    <mergeCell ref="D33:E35"/>
    <mergeCell ref="A41:C41"/>
    <mergeCell ref="D41:F41"/>
    <mergeCell ref="A193:F193"/>
    <mergeCell ref="A117:F117"/>
    <mergeCell ref="A84:D84"/>
    <mergeCell ref="A102:F102"/>
    <mergeCell ref="A119:F119"/>
    <mergeCell ref="A162:F162"/>
    <mergeCell ref="A154:F154"/>
  </mergeCells>
  <printOptions horizontalCentered="1"/>
  <pageMargins left="0.5511811023622047" right="0.5511811023622047" top="0.7874015748031497" bottom="0.5905511811023623" header="0.5118110236220472" footer="0.5118110236220472"/>
  <pageSetup orientation="portrait" paperSize="9" scale="72" r:id="rId1"/>
  <headerFooter alignWithMargins="0">
    <oddHeader>&amp;R&amp;P</oddHeader>
  </headerFooter>
  <rowBreaks count="6" manualBreakCount="6">
    <brk id="39" max="5" man="1"/>
    <brk id="98" max="5" man="1"/>
    <brk id="152" max="5" man="1"/>
    <brk id="191" max="5" man="1"/>
    <brk id="239" max="5" man="1"/>
    <brk id="283" max="5" man="1"/>
  </rowBreaks>
</worksheet>
</file>

<file path=xl/worksheets/sheet2.xml><?xml version="1.0" encoding="utf-8"?>
<worksheet xmlns="http://schemas.openxmlformats.org/spreadsheetml/2006/main" xmlns:r="http://schemas.openxmlformats.org/officeDocument/2006/relationships">
  <dimension ref="A1:O325"/>
  <sheetViews>
    <sheetView zoomScale="90" zoomScaleNormal="90" zoomScaleSheetLayoutView="90" workbookViewId="0" topLeftCell="A24">
      <selection activeCell="C42" sqref="C42"/>
    </sheetView>
  </sheetViews>
  <sheetFormatPr defaultColWidth="9.140625" defaultRowHeight="12.75"/>
  <cols>
    <col min="1" max="1" width="18.8515625" style="12" customWidth="1"/>
    <col min="2" max="2" width="18.8515625" style="165" customWidth="1"/>
    <col min="3" max="6" width="18.8515625" style="18" customWidth="1"/>
    <col min="7" max="7" width="13.421875" style="44" customWidth="1"/>
    <col min="8" max="8" width="1.8515625" style="18" bestFit="1" customWidth="1"/>
    <col min="9" max="9" width="2.421875" style="18" bestFit="1" customWidth="1"/>
    <col min="10" max="10" width="5.7109375" style="18" bestFit="1" customWidth="1"/>
    <col min="11" max="11" width="2.421875" style="18" bestFit="1" customWidth="1"/>
    <col min="12" max="12" width="5.7109375" style="18" bestFit="1" customWidth="1"/>
    <col min="13" max="16384" width="9.140625" style="18" customWidth="1"/>
  </cols>
  <sheetData>
    <row r="1" spans="1:7" ht="42.75" customHeight="1">
      <c r="A1" s="276" t="s">
        <v>80</v>
      </c>
      <c r="B1" s="277"/>
      <c r="C1" s="277"/>
      <c r="D1" s="277"/>
      <c r="E1" s="277"/>
      <c r="F1" s="278"/>
      <c r="G1" s="18"/>
    </row>
    <row r="2" spans="1:7" ht="18" customHeight="1">
      <c r="A2" s="313" t="s">
        <v>143</v>
      </c>
      <c r="B2" s="314"/>
      <c r="C2" s="314"/>
      <c r="D2" s="314"/>
      <c r="E2" s="314"/>
      <c r="F2" s="315"/>
      <c r="G2" s="18"/>
    </row>
    <row r="3" spans="1:6" ht="18" customHeight="1">
      <c r="A3" s="313" t="s">
        <v>212</v>
      </c>
      <c r="B3" s="316"/>
      <c r="C3" s="316"/>
      <c r="D3" s="316"/>
      <c r="E3" s="317"/>
      <c r="F3" s="260" t="s">
        <v>211</v>
      </c>
    </row>
    <row r="4" spans="1:6" ht="15.75">
      <c r="A4" s="113"/>
      <c r="B4" s="10"/>
      <c r="C4" s="11"/>
      <c r="D4" s="11"/>
      <c r="E4" s="11"/>
      <c r="F4" s="104"/>
    </row>
    <row r="5" spans="1:6" ht="45.75">
      <c r="A5" s="113"/>
      <c r="B5" s="3" t="s">
        <v>40</v>
      </c>
      <c r="C5" s="199"/>
      <c r="D5" s="4" t="s">
        <v>5</v>
      </c>
      <c r="E5" s="200"/>
      <c r="F5" s="104"/>
    </row>
    <row r="6" spans="1:6" ht="15">
      <c r="A6" s="113"/>
      <c r="B6" s="25"/>
      <c r="C6" s="146"/>
      <c r="D6" s="11" t="s">
        <v>15</v>
      </c>
      <c r="E6" s="11"/>
      <c r="F6" s="104"/>
    </row>
    <row r="7" spans="1:6" ht="30" customHeight="1">
      <c r="A7" s="113"/>
      <c r="B7" s="3" t="s">
        <v>78</v>
      </c>
      <c r="C7" s="201"/>
      <c r="D7" s="11"/>
      <c r="E7" s="11"/>
      <c r="F7" s="104"/>
    </row>
    <row r="8" spans="1:6" ht="15.75">
      <c r="A8" s="113"/>
      <c r="B8" s="10"/>
      <c r="C8" s="11"/>
      <c r="D8" s="11"/>
      <c r="E8" s="11"/>
      <c r="F8" s="104"/>
    </row>
    <row r="9" spans="1:6" ht="15.75">
      <c r="A9" s="109" t="s">
        <v>104</v>
      </c>
      <c r="B9" s="13"/>
      <c r="C9" s="11"/>
      <c r="D9" s="11"/>
      <c r="E9" s="11"/>
      <c r="F9" s="104"/>
    </row>
    <row r="10" spans="1:6" ht="90" customHeight="1">
      <c r="A10" s="299" t="s">
        <v>219</v>
      </c>
      <c r="B10" s="297"/>
      <c r="C10" s="297"/>
      <c r="D10" s="297"/>
      <c r="E10" s="297"/>
      <c r="F10" s="298"/>
    </row>
    <row r="11" spans="1:6" ht="129.75" customHeight="1">
      <c r="A11" s="299" t="s">
        <v>230</v>
      </c>
      <c r="B11" s="300"/>
      <c r="C11" s="300"/>
      <c r="D11" s="300"/>
      <c r="E11" s="300"/>
      <c r="F11" s="280"/>
    </row>
    <row r="12" spans="1:6" ht="15">
      <c r="A12" s="111"/>
      <c r="B12" s="35"/>
      <c r="C12" s="35"/>
      <c r="D12" s="35"/>
      <c r="E12" s="35"/>
      <c r="F12" s="112"/>
    </row>
    <row r="13" spans="1:6" ht="15">
      <c r="A13" s="177" t="s">
        <v>56</v>
      </c>
      <c r="B13" s="11"/>
      <c r="C13" s="11"/>
      <c r="D13" s="11"/>
      <c r="E13" s="11"/>
      <c r="F13" s="104"/>
    </row>
    <row r="14" spans="1:6" ht="15">
      <c r="A14" s="113"/>
      <c r="B14" s="11"/>
      <c r="C14" s="11"/>
      <c r="D14" s="11"/>
      <c r="E14" s="11"/>
      <c r="F14" s="104"/>
    </row>
    <row r="15" spans="1:6" ht="15.75">
      <c r="A15" s="279" t="s">
        <v>76</v>
      </c>
      <c r="B15" s="297"/>
      <c r="C15" s="297"/>
      <c r="D15" s="297"/>
      <c r="E15" s="297"/>
      <c r="F15" s="298"/>
    </row>
    <row r="16" spans="1:6" ht="15.75" thickBot="1">
      <c r="A16" s="113"/>
      <c r="B16" s="13"/>
      <c r="C16" s="11"/>
      <c r="D16" s="11"/>
      <c r="E16" s="11"/>
      <c r="F16" s="104"/>
    </row>
    <row r="17" spans="1:7" s="15" customFormat="1" ht="44.25" customHeight="1" thickBot="1">
      <c r="A17" s="114"/>
      <c r="B17" s="89" t="s">
        <v>2</v>
      </c>
      <c r="C17" s="79" t="s">
        <v>1</v>
      </c>
      <c r="D17" s="79" t="s">
        <v>0</v>
      </c>
      <c r="E17" s="80" t="s">
        <v>105</v>
      </c>
      <c r="F17" s="115"/>
      <c r="G17" s="14"/>
    </row>
    <row r="18" spans="1:6" ht="15.75">
      <c r="A18" s="113"/>
      <c r="B18" s="182" t="s">
        <v>204</v>
      </c>
      <c r="C18" s="86" t="s">
        <v>108</v>
      </c>
      <c r="D18" s="183">
        <v>40</v>
      </c>
      <c r="E18" s="188" t="s">
        <v>200</v>
      </c>
      <c r="F18" s="104"/>
    </row>
    <row r="19" spans="1:6" ht="15.75">
      <c r="A19" s="113"/>
      <c r="B19" s="184"/>
      <c r="C19" s="87" t="s">
        <v>107</v>
      </c>
      <c r="D19" s="185">
        <v>30</v>
      </c>
      <c r="E19" s="189" t="s">
        <v>200</v>
      </c>
      <c r="F19" s="104"/>
    </row>
    <row r="20" spans="1:6" ht="16.5" thickBot="1">
      <c r="A20" s="113"/>
      <c r="B20" s="186"/>
      <c r="C20" s="88" t="s">
        <v>106</v>
      </c>
      <c r="D20" s="187">
        <v>30</v>
      </c>
      <c r="E20" s="190" t="s">
        <v>200</v>
      </c>
      <c r="F20" s="104"/>
    </row>
    <row r="21" spans="1:6" ht="15.75">
      <c r="A21" s="113"/>
      <c r="B21" s="81" t="s">
        <v>52</v>
      </c>
      <c r="C21" s="86" t="s">
        <v>108</v>
      </c>
      <c r="D21" s="16">
        <v>45</v>
      </c>
      <c r="E21" s="20">
        <v>30</v>
      </c>
      <c r="F21" s="104"/>
    </row>
    <row r="22" spans="1:6" ht="15">
      <c r="A22" s="113"/>
      <c r="B22" s="82"/>
      <c r="C22" s="87" t="s">
        <v>107</v>
      </c>
      <c r="D22" s="17">
        <v>45</v>
      </c>
      <c r="E22" s="21">
        <v>60</v>
      </c>
      <c r="F22" s="104"/>
    </row>
    <row r="23" spans="1:6" ht="15.75" thickBot="1">
      <c r="A23" s="113"/>
      <c r="B23" s="83"/>
      <c r="C23" s="88" t="s">
        <v>106</v>
      </c>
      <c r="D23" s="19">
        <v>10</v>
      </c>
      <c r="E23" s="22">
        <v>10</v>
      </c>
      <c r="F23" s="104"/>
    </row>
    <row r="24" spans="1:6" ht="31.5">
      <c r="A24" s="113"/>
      <c r="B24" s="84" t="s">
        <v>79</v>
      </c>
      <c r="C24" s="86" t="s">
        <v>108</v>
      </c>
      <c r="D24" s="16">
        <v>45</v>
      </c>
      <c r="E24" s="20">
        <v>30</v>
      </c>
      <c r="F24" s="104"/>
    </row>
    <row r="25" spans="1:6" ht="15">
      <c r="A25" s="113"/>
      <c r="B25" s="31"/>
      <c r="C25" s="87" t="s">
        <v>107</v>
      </c>
      <c r="D25" s="17">
        <v>45</v>
      </c>
      <c r="E25" s="21">
        <v>60</v>
      </c>
      <c r="F25" s="104"/>
    </row>
    <row r="26" spans="1:6" ht="15.75" thickBot="1">
      <c r="A26" s="113"/>
      <c r="B26" s="83"/>
      <c r="C26" s="88" t="s">
        <v>106</v>
      </c>
      <c r="D26" s="19">
        <v>10</v>
      </c>
      <c r="E26" s="22">
        <v>10</v>
      </c>
      <c r="F26" s="104"/>
    </row>
    <row r="27" spans="1:6" ht="15.75">
      <c r="A27" s="113"/>
      <c r="B27" s="84" t="s">
        <v>205</v>
      </c>
      <c r="C27" s="86" t="s">
        <v>108</v>
      </c>
      <c r="D27" s="16">
        <v>45</v>
      </c>
      <c r="E27" s="20">
        <v>30</v>
      </c>
      <c r="F27" s="104"/>
    </row>
    <row r="28" spans="1:6" ht="15">
      <c r="A28" s="113"/>
      <c r="B28" s="31"/>
      <c r="C28" s="87" t="s">
        <v>107</v>
      </c>
      <c r="D28" s="17">
        <v>45</v>
      </c>
      <c r="E28" s="21">
        <v>60</v>
      </c>
      <c r="F28" s="104"/>
    </row>
    <row r="29" spans="1:6" ht="15.75" thickBot="1">
      <c r="A29" s="113"/>
      <c r="B29" s="83"/>
      <c r="C29" s="88" t="s">
        <v>106</v>
      </c>
      <c r="D29" s="19">
        <v>10</v>
      </c>
      <c r="E29" s="22">
        <v>10</v>
      </c>
      <c r="F29" s="104"/>
    </row>
    <row r="30" spans="1:6" ht="15.75">
      <c r="A30" s="113"/>
      <c r="B30" s="85" t="s">
        <v>110</v>
      </c>
      <c r="C30" s="86" t="s">
        <v>108</v>
      </c>
      <c r="D30" s="16">
        <v>55</v>
      </c>
      <c r="E30" s="20">
        <v>22</v>
      </c>
      <c r="F30" s="104"/>
    </row>
    <row r="31" spans="1:6" ht="15">
      <c r="A31" s="113"/>
      <c r="B31" s="31"/>
      <c r="C31" s="87" t="s">
        <v>107</v>
      </c>
      <c r="D31" s="17">
        <v>37</v>
      </c>
      <c r="E31" s="21">
        <v>70</v>
      </c>
      <c r="F31" s="104"/>
    </row>
    <row r="32" spans="1:6" ht="15.75" thickBot="1">
      <c r="A32" s="113"/>
      <c r="B32" s="83"/>
      <c r="C32" s="88" t="s">
        <v>106</v>
      </c>
      <c r="D32" s="19">
        <v>8</v>
      </c>
      <c r="E32" s="22">
        <v>8</v>
      </c>
      <c r="F32" s="104"/>
    </row>
    <row r="33" spans="1:6" ht="15.75">
      <c r="A33" s="113"/>
      <c r="B33" s="85" t="s">
        <v>206</v>
      </c>
      <c r="C33" s="86" t="s">
        <v>108</v>
      </c>
      <c r="D33" s="287" t="s">
        <v>207</v>
      </c>
      <c r="E33" s="288"/>
      <c r="F33" s="104"/>
    </row>
    <row r="34" spans="1:6" ht="15">
      <c r="A34" s="113"/>
      <c r="B34" s="31"/>
      <c r="C34" s="87" t="s">
        <v>107</v>
      </c>
      <c r="D34" s="289"/>
      <c r="E34" s="290"/>
      <c r="F34" s="104"/>
    </row>
    <row r="35" spans="1:6" ht="15.75" thickBot="1">
      <c r="A35" s="113"/>
      <c r="B35" s="83"/>
      <c r="C35" s="88" t="s">
        <v>106</v>
      </c>
      <c r="D35" s="291"/>
      <c r="E35" s="292"/>
      <c r="F35" s="104"/>
    </row>
    <row r="36" spans="1:6" ht="15">
      <c r="A36" s="113"/>
      <c r="B36" s="13"/>
      <c r="C36" s="11"/>
      <c r="D36" s="11"/>
      <c r="E36" s="11"/>
      <c r="F36" s="104"/>
    </row>
    <row r="37" spans="1:6" ht="15.75">
      <c r="A37" s="109" t="s">
        <v>65</v>
      </c>
      <c r="B37" s="13"/>
      <c r="C37" s="11"/>
      <c r="D37" s="11"/>
      <c r="E37" s="11"/>
      <c r="F37" s="104"/>
    </row>
    <row r="38" spans="1:6" ht="15.75">
      <c r="A38" s="109"/>
      <c r="B38" s="13"/>
      <c r="C38" s="11"/>
      <c r="D38" s="11"/>
      <c r="E38" s="11"/>
      <c r="F38" s="104"/>
    </row>
    <row r="39" spans="1:6" ht="87.75" customHeight="1" thickBot="1">
      <c r="A39" s="281" t="s">
        <v>231</v>
      </c>
      <c r="B39" s="282"/>
      <c r="C39" s="282"/>
      <c r="D39" s="282"/>
      <c r="E39" s="282"/>
      <c r="F39" s="283"/>
    </row>
    <row r="40" spans="1:6" ht="15.75">
      <c r="A40" s="147"/>
      <c r="B40" s="257"/>
      <c r="C40" s="258"/>
      <c r="D40" s="258"/>
      <c r="E40" s="258"/>
      <c r="F40" s="259"/>
    </row>
    <row r="41" spans="1:6" ht="32.25" customHeight="1">
      <c r="A41" s="293" t="s">
        <v>213</v>
      </c>
      <c r="B41" s="294"/>
      <c r="C41" s="294"/>
      <c r="D41" s="294" t="s">
        <v>229</v>
      </c>
      <c r="E41" s="294"/>
      <c r="F41" s="295"/>
    </row>
    <row r="42" spans="1:6" ht="15.75">
      <c r="A42" s="113"/>
      <c r="B42" s="24" t="s">
        <v>115</v>
      </c>
      <c r="C42" s="202"/>
      <c r="D42" s="24" t="s">
        <v>115</v>
      </c>
      <c r="E42" s="202"/>
      <c r="F42" s="104"/>
    </row>
    <row r="43" spans="1:8" s="12" customFormat="1" ht="9.75" customHeight="1">
      <c r="A43" s="113"/>
      <c r="B43" s="25"/>
      <c r="C43" s="8"/>
      <c r="D43" s="25"/>
      <c r="E43" s="8"/>
      <c r="F43" s="104"/>
      <c r="G43" s="38"/>
      <c r="H43" s="18"/>
    </row>
    <row r="44" spans="1:6" ht="15.75">
      <c r="A44" s="113"/>
      <c r="B44" s="24" t="s">
        <v>114</v>
      </c>
      <c r="C44" s="202"/>
      <c r="D44" s="24" t="s">
        <v>114</v>
      </c>
      <c r="E44" s="202"/>
      <c r="F44" s="104"/>
    </row>
    <row r="45" spans="1:8" s="12" customFormat="1" ht="9.75" customHeight="1">
      <c r="A45" s="113"/>
      <c r="B45" s="25"/>
      <c r="C45" s="8"/>
      <c r="D45" s="25"/>
      <c r="E45" s="8"/>
      <c r="F45" s="104"/>
      <c r="G45" s="38"/>
      <c r="H45" s="18"/>
    </row>
    <row r="46" spans="1:6" ht="15.75">
      <c r="A46" s="113"/>
      <c r="B46" s="24" t="s">
        <v>41</v>
      </c>
      <c r="C46" s="202"/>
      <c r="D46" s="24" t="s">
        <v>41</v>
      </c>
      <c r="E46" s="202"/>
      <c r="F46" s="104"/>
    </row>
    <row r="47" spans="1:6" ht="8.25" customHeight="1">
      <c r="A47" s="113"/>
      <c r="B47" s="13"/>
      <c r="C47" s="11"/>
      <c r="D47" s="11"/>
      <c r="E47" s="11"/>
      <c r="F47" s="104"/>
    </row>
    <row r="48" spans="1:6" ht="15.75">
      <c r="A48" s="114" t="s">
        <v>42</v>
      </c>
      <c r="B48" s="11"/>
      <c r="C48" s="11"/>
      <c r="D48" s="11"/>
      <c r="E48" s="11"/>
      <c r="F48" s="104"/>
    </row>
    <row r="49" spans="1:6" ht="75" customHeight="1">
      <c r="A49" s="284" t="s">
        <v>222</v>
      </c>
      <c r="B49" s="285"/>
      <c r="C49" s="285"/>
      <c r="D49" s="285"/>
      <c r="E49" s="285"/>
      <c r="F49" s="286"/>
    </row>
    <row r="50" spans="1:6" ht="16.5" thickBot="1">
      <c r="A50" s="113"/>
      <c r="B50" s="23"/>
      <c r="C50" s="11"/>
      <c r="D50" s="11"/>
      <c r="E50" s="11"/>
      <c r="F50" s="104"/>
    </row>
    <row r="51" spans="1:7" ht="45.75" thickBot="1">
      <c r="A51" s="27" t="s">
        <v>66</v>
      </c>
      <c r="B51" s="28" t="s">
        <v>116</v>
      </c>
      <c r="C51" s="28" t="s">
        <v>162</v>
      </c>
      <c r="D51" s="28" t="s">
        <v>117</v>
      </c>
      <c r="E51" s="28" t="s">
        <v>118</v>
      </c>
      <c r="F51" s="9" t="s">
        <v>121</v>
      </c>
      <c r="G51" s="18"/>
    </row>
    <row r="52" spans="1:7" ht="15">
      <c r="A52" s="203"/>
      <c r="B52" s="204"/>
      <c r="C52" s="205"/>
      <c r="D52" s="204"/>
      <c r="E52" s="204"/>
      <c r="F52" s="206">
        <v>0</v>
      </c>
      <c r="G52" s="18"/>
    </row>
    <row r="53" spans="1:7" ht="15">
      <c r="A53" s="207"/>
      <c r="B53" s="208"/>
      <c r="C53" s="209"/>
      <c r="D53" s="208"/>
      <c r="E53" s="208"/>
      <c r="F53" s="210">
        <v>0</v>
      </c>
      <c r="G53" s="18"/>
    </row>
    <row r="54" spans="1:7" ht="15">
      <c r="A54" s="207"/>
      <c r="B54" s="208"/>
      <c r="C54" s="209"/>
      <c r="D54" s="208"/>
      <c r="E54" s="208"/>
      <c r="F54" s="210">
        <v>0</v>
      </c>
      <c r="G54" s="18"/>
    </row>
    <row r="55" spans="1:7" ht="15">
      <c r="A55" s="207"/>
      <c r="B55" s="208"/>
      <c r="C55" s="209"/>
      <c r="D55" s="208"/>
      <c r="E55" s="208"/>
      <c r="F55" s="210">
        <v>0</v>
      </c>
      <c r="G55" s="18"/>
    </row>
    <row r="56" spans="1:7" ht="15">
      <c r="A56" s="207"/>
      <c r="B56" s="208"/>
      <c r="C56" s="209"/>
      <c r="D56" s="208"/>
      <c r="E56" s="208"/>
      <c r="F56" s="210">
        <v>0</v>
      </c>
      <c r="G56" s="18"/>
    </row>
    <row r="57" spans="1:7" ht="15">
      <c r="A57" s="207"/>
      <c r="B57" s="208"/>
      <c r="C57" s="209"/>
      <c r="D57" s="208"/>
      <c r="E57" s="208"/>
      <c r="F57" s="210">
        <v>0</v>
      </c>
      <c r="G57" s="18"/>
    </row>
    <row r="58" spans="1:7" ht="15">
      <c r="A58" s="207"/>
      <c r="B58" s="208"/>
      <c r="C58" s="209"/>
      <c r="D58" s="208"/>
      <c r="E58" s="208"/>
      <c r="F58" s="210">
        <v>0</v>
      </c>
      <c r="G58" s="18"/>
    </row>
    <row r="59" spans="1:7" ht="15">
      <c r="A59" s="207"/>
      <c r="B59" s="208"/>
      <c r="C59" s="209"/>
      <c r="D59" s="208"/>
      <c r="E59" s="208"/>
      <c r="F59" s="210">
        <v>0</v>
      </c>
      <c r="G59" s="18"/>
    </row>
    <row r="60" spans="1:7" ht="15">
      <c r="A60" s="207"/>
      <c r="B60" s="208"/>
      <c r="C60" s="209"/>
      <c r="D60" s="208"/>
      <c r="E60" s="208"/>
      <c r="F60" s="210">
        <v>0</v>
      </c>
      <c r="G60" s="18"/>
    </row>
    <row r="61" spans="1:6" ht="15">
      <c r="A61" s="207"/>
      <c r="B61" s="208"/>
      <c r="C61" s="209"/>
      <c r="D61" s="208"/>
      <c r="E61" s="208"/>
      <c r="F61" s="210">
        <v>0</v>
      </c>
    </row>
    <row r="62" spans="1:6" ht="15">
      <c r="A62" s="207"/>
      <c r="B62" s="208"/>
      <c r="C62" s="209"/>
      <c r="D62" s="208"/>
      <c r="E62" s="208"/>
      <c r="F62" s="210">
        <v>0</v>
      </c>
    </row>
    <row r="63" spans="1:6" ht="15">
      <c r="A63" s="207"/>
      <c r="B63" s="208"/>
      <c r="C63" s="209"/>
      <c r="D63" s="208"/>
      <c r="E63" s="208"/>
      <c r="F63" s="210">
        <v>0</v>
      </c>
    </row>
    <row r="64" spans="1:6" ht="15">
      <c r="A64" s="207"/>
      <c r="B64" s="208"/>
      <c r="C64" s="209"/>
      <c r="D64" s="208"/>
      <c r="E64" s="208"/>
      <c r="F64" s="210">
        <v>0</v>
      </c>
    </row>
    <row r="65" spans="1:6" ht="15">
      <c r="A65" s="207"/>
      <c r="B65" s="208"/>
      <c r="C65" s="209"/>
      <c r="D65" s="208"/>
      <c r="E65" s="208"/>
      <c r="F65" s="210">
        <v>0</v>
      </c>
    </row>
    <row r="66" spans="1:6" ht="15">
      <c r="A66" s="207"/>
      <c r="B66" s="208"/>
      <c r="C66" s="209"/>
      <c r="D66" s="208"/>
      <c r="E66" s="208"/>
      <c r="F66" s="210">
        <v>0</v>
      </c>
    </row>
    <row r="67" spans="1:6" ht="15">
      <c r="A67" s="207"/>
      <c r="B67" s="208"/>
      <c r="C67" s="209"/>
      <c r="D67" s="208"/>
      <c r="E67" s="208"/>
      <c r="F67" s="210">
        <v>0</v>
      </c>
    </row>
    <row r="68" spans="1:6" ht="15">
      <c r="A68" s="207"/>
      <c r="B68" s="208"/>
      <c r="C68" s="209"/>
      <c r="D68" s="208"/>
      <c r="E68" s="208"/>
      <c r="F68" s="210">
        <v>0</v>
      </c>
    </row>
    <row r="69" spans="1:6" ht="15">
      <c r="A69" s="207"/>
      <c r="B69" s="208"/>
      <c r="C69" s="209"/>
      <c r="D69" s="208"/>
      <c r="E69" s="208"/>
      <c r="F69" s="210">
        <v>0</v>
      </c>
    </row>
    <row r="70" spans="1:6" ht="15">
      <c r="A70" s="207"/>
      <c r="B70" s="208"/>
      <c r="C70" s="209"/>
      <c r="D70" s="208"/>
      <c r="E70" s="208"/>
      <c r="F70" s="210">
        <v>0</v>
      </c>
    </row>
    <row r="71" spans="1:6" ht="15">
      <c r="A71" s="207"/>
      <c r="B71" s="208"/>
      <c r="C71" s="209"/>
      <c r="D71" s="208"/>
      <c r="E71" s="208"/>
      <c r="F71" s="210">
        <v>0</v>
      </c>
    </row>
    <row r="72" spans="1:6" ht="15">
      <c r="A72" s="207"/>
      <c r="B72" s="208"/>
      <c r="C72" s="209"/>
      <c r="D72" s="208"/>
      <c r="E72" s="208"/>
      <c r="F72" s="210">
        <v>0</v>
      </c>
    </row>
    <row r="73" spans="1:6" ht="15">
      <c r="A73" s="207"/>
      <c r="B73" s="208"/>
      <c r="C73" s="209"/>
      <c r="D73" s="208"/>
      <c r="E73" s="208"/>
      <c r="F73" s="210">
        <v>0</v>
      </c>
    </row>
    <row r="74" spans="1:6" ht="15">
      <c r="A74" s="207"/>
      <c r="B74" s="208"/>
      <c r="C74" s="209"/>
      <c r="D74" s="208"/>
      <c r="E74" s="208"/>
      <c r="F74" s="210">
        <v>0</v>
      </c>
    </row>
    <row r="75" spans="1:6" ht="15">
      <c r="A75" s="207"/>
      <c r="B75" s="208"/>
      <c r="C75" s="209"/>
      <c r="D75" s="208"/>
      <c r="E75" s="208"/>
      <c r="F75" s="210">
        <v>0</v>
      </c>
    </row>
    <row r="76" spans="1:6" ht="15">
      <c r="A76" s="207"/>
      <c r="B76" s="208"/>
      <c r="C76" s="209"/>
      <c r="D76" s="208"/>
      <c r="E76" s="208"/>
      <c r="F76" s="210">
        <v>0</v>
      </c>
    </row>
    <row r="77" spans="1:6" ht="15">
      <c r="A77" s="207"/>
      <c r="B77" s="208"/>
      <c r="C77" s="209"/>
      <c r="D77" s="208"/>
      <c r="E77" s="208"/>
      <c r="F77" s="210">
        <v>0</v>
      </c>
    </row>
    <row r="78" spans="1:6" ht="15">
      <c r="A78" s="207"/>
      <c r="B78" s="208"/>
      <c r="C78" s="209"/>
      <c r="D78" s="208"/>
      <c r="E78" s="208"/>
      <c r="F78" s="210">
        <v>0</v>
      </c>
    </row>
    <row r="79" spans="1:6" ht="15">
      <c r="A79" s="207"/>
      <c r="B79" s="208"/>
      <c r="C79" s="209"/>
      <c r="D79" s="208"/>
      <c r="E79" s="208"/>
      <c r="F79" s="210">
        <v>0</v>
      </c>
    </row>
    <row r="80" spans="1:6" ht="15">
      <c r="A80" s="207"/>
      <c r="B80" s="208"/>
      <c r="C80" s="209"/>
      <c r="D80" s="208"/>
      <c r="E80" s="208"/>
      <c r="F80" s="210">
        <v>0</v>
      </c>
    </row>
    <row r="81" spans="1:6" ht="15.75" thickBot="1">
      <c r="A81" s="211"/>
      <c r="B81" s="212"/>
      <c r="C81" s="213"/>
      <c r="D81" s="212"/>
      <c r="E81" s="212"/>
      <c r="F81" s="214">
        <v>0</v>
      </c>
    </row>
    <row r="82" spans="1:7" s="41" customFormat="1" ht="15.75">
      <c r="A82" s="116">
        <f>COUNT(A52:A81)</f>
        <v>0</v>
      </c>
      <c r="B82" s="146"/>
      <c r="C82" s="146"/>
      <c r="D82" s="146"/>
      <c r="E82" s="146"/>
      <c r="F82" s="117">
        <f>AVERAGE(LARGE(F52:F81,1),LARGE(F52:F81,2),LARGE(F52:F81,3))</f>
        <v>0</v>
      </c>
      <c r="G82" s="148"/>
    </row>
    <row r="83" spans="1:6" ht="15.75">
      <c r="A83" s="113"/>
      <c r="B83" s="11"/>
      <c r="C83" s="29"/>
      <c r="D83" s="11"/>
      <c r="E83" s="11"/>
      <c r="F83" s="149"/>
    </row>
    <row r="84" spans="1:6" ht="30.75" customHeight="1">
      <c r="A84" s="299" t="s">
        <v>223</v>
      </c>
      <c r="B84" s="300"/>
      <c r="C84" s="300"/>
      <c r="D84" s="300"/>
      <c r="E84" s="30">
        <f>ROUND(A82/3,2)</f>
        <v>0</v>
      </c>
      <c r="F84" s="104"/>
    </row>
    <row r="85" spans="1:6" ht="15.75">
      <c r="A85" s="31"/>
      <c r="B85" s="32"/>
      <c r="C85" s="29"/>
      <c r="D85" s="11"/>
      <c r="E85" s="11"/>
      <c r="F85" s="104"/>
    </row>
    <row r="86" spans="1:6" ht="15.75" thickBot="1">
      <c r="A86" s="113" t="s">
        <v>119</v>
      </c>
      <c r="B86" s="11"/>
      <c r="C86" s="11"/>
      <c r="D86" s="11"/>
      <c r="E86" s="11"/>
      <c r="F86" s="104"/>
    </row>
    <row r="87" spans="1:6" ht="15.75" thickBot="1">
      <c r="A87" s="113"/>
      <c r="B87" s="9" t="s">
        <v>48</v>
      </c>
      <c r="C87" s="27" t="s">
        <v>49</v>
      </c>
      <c r="D87" s="9" t="s">
        <v>120</v>
      </c>
      <c r="E87" s="11"/>
      <c r="F87" s="104"/>
    </row>
    <row r="88" spans="1:6" ht="15">
      <c r="A88" s="113"/>
      <c r="B88" s="261" t="s">
        <v>144</v>
      </c>
      <c r="C88" s="144">
        <v>1</v>
      </c>
      <c r="D88" s="144" t="b">
        <f>IF($E$84&gt;=0.49,IF($E$84&lt;=0.97,"1",0))</f>
        <v>0</v>
      </c>
      <c r="E88" s="11"/>
      <c r="F88" s="104"/>
    </row>
    <row r="89" spans="1:6" ht="15">
      <c r="A89" s="113"/>
      <c r="B89" s="262" t="s">
        <v>145</v>
      </c>
      <c r="C89" s="47">
        <v>2</v>
      </c>
      <c r="D89" s="47" t="b">
        <f>IF($E$84&gt;=0.98,IF($E$84&lt;=1.46,"2",0))</f>
        <v>0</v>
      </c>
      <c r="E89" s="11"/>
      <c r="F89" s="104"/>
    </row>
    <row r="90" spans="1:6" ht="15">
      <c r="A90" s="113"/>
      <c r="B90" s="262" t="s">
        <v>146</v>
      </c>
      <c r="C90" s="47">
        <v>3</v>
      </c>
      <c r="D90" s="47" t="b">
        <f>IF($E$84&gt;=1.47,IF($E$84&lt;=1.95,"3",0))</f>
        <v>0</v>
      </c>
      <c r="E90" s="11"/>
      <c r="F90" s="104"/>
    </row>
    <row r="91" spans="1:6" ht="15">
      <c r="A91" s="113"/>
      <c r="B91" s="262" t="s">
        <v>147</v>
      </c>
      <c r="C91" s="47">
        <v>4</v>
      </c>
      <c r="D91" s="47" t="b">
        <f>IF($E$84&gt;=1.96,IF($E$84&lt;=2.44,"4",0))</f>
        <v>0</v>
      </c>
      <c r="E91" s="11"/>
      <c r="F91" s="104"/>
    </row>
    <row r="92" spans="1:6" ht="15">
      <c r="A92" s="113"/>
      <c r="B92" s="262" t="s">
        <v>148</v>
      </c>
      <c r="C92" s="47">
        <v>5</v>
      </c>
      <c r="D92" s="47" t="b">
        <f>IF($E$84&gt;=2.45,IF($E$84&lt;=2.93,"5",0))</f>
        <v>0</v>
      </c>
      <c r="E92" s="11"/>
      <c r="F92" s="104"/>
    </row>
    <row r="93" spans="1:6" ht="15">
      <c r="A93" s="113"/>
      <c r="B93" s="262" t="s">
        <v>149</v>
      </c>
      <c r="C93" s="47">
        <v>6</v>
      </c>
      <c r="D93" s="47" t="b">
        <f>IF($E$84&gt;=2.94,IF($E$84&lt;=3.42,"6",0))</f>
        <v>0</v>
      </c>
      <c r="E93" s="11"/>
      <c r="F93" s="104"/>
    </row>
    <row r="94" spans="1:6" ht="15">
      <c r="A94" s="113"/>
      <c r="B94" s="262" t="s">
        <v>150</v>
      </c>
      <c r="C94" s="47">
        <v>7</v>
      </c>
      <c r="D94" s="47" t="b">
        <f>IF($E$84&gt;=3.43,IF($E$84&lt;=3.91,"7",0))</f>
        <v>0</v>
      </c>
      <c r="E94" s="11"/>
      <c r="F94" s="104"/>
    </row>
    <row r="95" spans="1:6" ht="15">
      <c r="A95" s="113"/>
      <c r="B95" s="262" t="s">
        <v>208</v>
      </c>
      <c r="C95" s="47">
        <v>8</v>
      </c>
      <c r="D95" s="47" t="b">
        <f>IF($E$84&gt;=3.92,IF($E$84&lt;=4.4,"8",0))</f>
        <v>0</v>
      </c>
      <c r="E95" s="11"/>
      <c r="F95" s="104"/>
    </row>
    <row r="96" spans="1:6" ht="15.75" thickBot="1">
      <c r="A96" s="113"/>
      <c r="B96" s="263" t="s">
        <v>224</v>
      </c>
      <c r="C96" s="50">
        <v>9</v>
      </c>
      <c r="D96" s="50">
        <f>IF($E$84&gt;=4.41,"9",0)</f>
        <v>0</v>
      </c>
      <c r="E96" s="11"/>
      <c r="F96" s="104"/>
    </row>
    <row r="97" spans="1:6" ht="15.75">
      <c r="A97" s="113"/>
      <c r="B97" s="11"/>
      <c r="C97" s="145"/>
      <c r="D97" s="11"/>
      <c r="E97" s="29"/>
      <c r="F97" s="104"/>
    </row>
    <row r="98" spans="1:6" ht="16.5" thickBot="1">
      <c r="A98" s="118" t="s">
        <v>81</v>
      </c>
      <c r="B98" s="143"/>
      <c r="C98" s="119">
        <f>D88+D89+D90+D91+D92+D93+D94+D95+D96</f>
        <v>0</v>
      </c>
      <c r="D98" s="143"/>
      <c r="E98" s="143"/>
      <c r="F98" s="132"/>
    </row>
    <row r="99" spans="1:6" ht="15.75">
      <c r="A99" s="147"/>
      <c r="B99" s="120"/>
      <c r="C99" s="145"/>
      <c r="D99" s="145"/>
      <c r="E99" s="145"/>
      <c r="F99" s="105"/>
    </row>
    <row r="100" spans="1:6" ht="48.75" customHeight="1">
      <c r="A100" s="296" t="s">
        <v>158</v>
      </c>
      <c r="B100" s="297"/>
      <c r="C100" s="297"/>
      <c r="D100" s="297"/>
      <c r="E100" s="297"/>
      <c r="F100" s="298"/>
    </row>
    <row r="101" spans="1:6" ht="15">
      <c r="A101" s="113"/>
      <c r="B101" s="33"/>
      <c r="C101" s="35"/>
      <c r="D101" s="35"/>
      <c r="E101" s="35"/>
      <c r="F101" s="112"/>
    </row>
    <row r="102" spans="1:6" ht="15">
      <c r="A102" s="299" t="s">
        <v>225</v>
      </c>
      <c r="B102" s="297"/>
      <c r="C102" s="297"/>
      <c r="D102" s="297"/>
      <c r="E102" s="297"/>
      <c r="F102" s="298"/>
    </row>
    <row r="103" spans="1:10" s="12" customFormat="1" ht="15.75" thickBot="1">
      <c r="A103" s="113"/>
      <c r="B103" s="34"/>
      <c r="C103" s="34"/>
      <c r="D103" s="34"/>
      <c r="E103" s="35"/>
      <c r="F103" s="112"/>
      <c r="G103" s="38"/>
      <c r="H103" s="150"/>
      <c r="I103" s="151"/>
      <c r="J103" s="106"/>
    </row>
    <row r="104" spans="1:10" ht="15.75" thickBot="1">
      <c r="A104" s="113"/>
      <c r="B104" s="9" t="s">
        <v>121</v>
      </c>
      <c r="C104" s="27" t="s">
        <v>49</v>
      </c>
      <c r="D104" s="9" t="s">
        <v>120</v>
      </c>
      <c r="E104" s="11"/>
      <c r="F104" s="104"/>
      <c r="H104" s="150"/>
      <c r="I104" s="151"/>
      <c r="J104" s="106"/>
    </row>
    <row r="105" spans="1:10" ht="15">
      <c r="A105" s="113"/>
      <c r="B105" s="264" t="s">
        <v>163</v>
      </c>
      <c r="C105" s="144">
        <v>1</v>
      </c>
      <c r="D105" s="144" t="b">
        <f>IF($F$82&gt;=0.269,IF($F$82&lt;=0.437,"1",0))</f>
        <v>0</v>
      </c>
      <c r="E105" s="11"/>
      <c r="F105" s="104"/>
      <c r="H105" s="150"/>
      <c r="I105" s="151"/>
      <c r="J105" s="106"/>
    </row>
    <row r="106" spans="1:10" ht="15">
      <c r="A106" s="113"/>
      <c r="B106" s="265" t="s">
        <v>164</v>
      </c>
      <c r="C106" s="47">
        <v>2</v>
      </c>
      <c r="D106" s="47" t="b">
        <f>IF($F$82&gt;=0.438,IF($F$82&lt;=0.586,"2",0))</f>
        <v>0</v>
      </c>
      <c r="E106" s="11"/>
      <c r="F106" s="104"/>
      <c r="H106" s="150"/>
      <c r="I106" s="151"/>
      <c r="J106" s="106"/>
    </row>
    <row r="107" spans="1:10" ht="15">
      <c r="A107" s="113"/>
      <c r="B107" s="265" t="s">
        <v>140</v>
      </c>
      <c r="C107" s="47">
        <v>3</v>
      </c>
      <c r="D107" s="47" t="b">
        <f>IF($F$82&gt;=0.587,IF($F$82&lt;=0.679,"3",0))</f>
        <v>0</v>
      </c>
      <c r="E107" s="11"/>
      <c r="F107" s="104"/>
      <c r="H107" s="150"/>
      <c r="I107" s="151"/>
      <c r="J107" s="108"/>
    </row>
    <row r="108" spans="1:10" ht="15">
      <c r="A108" s="113"/>
      <c r="B108" s="265" t="s">
        <v>141</v>
      </c>
      <c r="C108" s="48">
        <v>4</v>
      </c>
      <c r="D108" s="47" t="b">
        <f>IF($F$82&gt;=0.68,IF($F$82&lt;=0.857,"4",0))</f>
        <v>0</v>
      </c>
      <c r="E108" s="11"/>
      <c r="F108" s="104"/>
      <c r="G108" s="37"/>
      <c r="H108" s="150"/>
      <c r="I108" s="151"/>
      <c r="J108" s="106"/>
    </row>
    <row r="109" spans="1:10" ht="15">
      <c r="A109" s="113"/>
      <c r="B109" s="265" t="s">
        <v>142</v>
      </c>
      <c r="C109" s="48">
        <v>5</v>
      </c>
      <c r="D109" s="47" t="b">
        <f>IF($F$82&gt;=0.858,IF($F$82&lt;=1,"5",0))</f>
        <v>0</v>
      </c>
      <c r="E109" s="11"/>
      <c r="F109" s="104"/>
      <c r="G109" s="38"/>
      <c r="H109" s="150"/>
      <c r="I109" s="151"/>
      <c r="J109" s="108"/>
    </row>
    <row r="110" spans="1:10" ht="15">
      <c r="A110" s="113"/>
      <c r="B110" s="265" t="s">
        <v>165</v>
      </c>
      <c r="C110" s="48">
        <v>6</v>
      </c>
      <c r="D110" s="47" t="b">
        <f>IF($F$82&gt;=1.001,IF($F$82&lt;=1.222,"6",0))</f>
        <v>0</v>
      </c>
      <c r="E110" s="11"/>
      <c r="F110" s="104"/>
      <c r="G110" s="38"/>
      <c r="H110" s="150"/>
      <c r="I110" s="151"/>
      <c r="J110" s="107"/>
    </row>
    <row r="111" spans="1:10" ht="15">
      <c r="A111" s="113"/>
      <c r="B111" s="265" t="s">
        <v>166</v>
      </c>
      <c r="C111" s="48">
        <v>7</v>
      </c>
      <c r="D111" s="47" t="b">
        <f>IF($F$82&gt;=1.223,IF($F$82&lt;=1.83,"7",0))</f>
        <v>0</v>
      </c>
      <c r="E111" s="11"/>
      <c r="F111" s="104"/>
      <c r="G111" s="38"/>
      <c r="H111" s="150"/>
      <c r="I111" s="151"/>
      <c r="J111" s="106"/>
    </row>
    <row r="112" spans="1:10" ht="15">
      <c r="A112" s="113"/>
      <c r="B112" s="265" t="s">
        <v>209</v>
      </c>
      <c r="C112" s="48">
        <v>8</v>
      </c>
      <c r="D112" s="47" t="b">
        <f>IF($F$82&gt;=1.831,IF($F$82&lt;=2.109,"8",0))</f>
        <v>0</v>
      </c>
      <c r="E112" s="11"/>
      <c r="F112" s="104"/>
      <c r="G112" s="38"/>
      <c r="H112" s="150"/>
      <c r="I112" s="151"/>
      <c r="J112" s="106"/>
    </row>
    <row r="113" spans="1:10" ht="15.75" thickBot="1">
      <c r="A113" s="113"/>
      <c r="B113" s="266" t="s">
        <v>226</v>
      </c>
      <c r="C113" s="50">
        <v>9</v>
      </c>
      <c r="D113" s="50">
        <f>IF($F$82&gt;=2.11,"9",0)</f>
        <v>0</v>
      </c>
      <c r="E113" s="11"/>
      <c r="F113" s="104"/>
      <c r="G113" s="38"/>
      <c r="H113" s="150"/>
      <c r="I113" s="151"/>
      <c r="J113" s="106"/>
    </row>
    <row r="114" spans="1:10" ht="15.75">
      <c r="A114" s="113"/>
      <c r="B114" s="152"/>
      <c r="C114" s="11"/>
      <c r="D114" s="25"/>
      <c r="E114" s="1"/>
      <c r="F114" s="104"/>
      <c r="G114" s="38"/>
      <c r="H114" s="150"/>
      <c r="I114" s="151"/>
      <c r="J114" s="106"/>
    </row>
    <row r="115" spans="1:7" ht="15.75">
      <c r="A115" s="113" t="s">
        <v>113</v>
      </c>
      <c r="B115" s="11"/>
      <c r="C115" s="39">
        <f>D105+D106+D107+D108+D109+D110+D111+D112+D113</f>
        <v>0</v>
      </c>
      <c r="D115" s="35"/>
      <c r="E115" s="11"/>
      <c r="F115" s="115"/>
      <c r="G115" s="38"/>
    </row>
    <row r="116" spans="1:7" ht="15.75">
      <c r="A116" s="113"/>
      <c r="B116" s="11"/>
      <c r="C116" s="40"/>
      <c r="D116" s="35"/>
      <c r="E116" s="11"/>
      <c r="F116" s="115"/>
      <c r="G116" s="38"/>
    </row>
    <row r="117" spans="1:6" ht="67.5" customHeight="1">
      <c r="A117" s="296" t="s">
        <v>8</v>
      </c>
      <c r="B117" s="297"/>
      <c r="C117" s="297"/>
      <c r="D117" s="297"/>
      <c r="E117" s="297"/>
      <c r="F117" s="298"/>
    </row>
    <row r="118" spans="1:6" ht="15">
      <c r="A118" s="113"/>
      <c r="B118" s="33"/>
      <c r="C118" s="35"/>
      <c r="D118" s="35"/>
      <c r="E118" s="35"/>
      <c r="F118" s="112"/>
    </row>
    <row r="119" spans="1:10" ht="93" customHeight="1">
      <c r="A119" s="299" t="s">
        <v>7</v>
      </c>
      <c r="B119" s="297"/>
      <c r="C119" s="297"/>
      <c r="D119" s="297"/>
      <c r="E119" s="297"/>
      <c r="F119" s="298"/>
      <c r="H119" s="12"/>
      <c r="I119" s="12"/>
      <c r="J119" s="12"/>
    </row>
    <row r="120" spans="1:6" ht="15">
      <c r="A120" s="111"/>
      <c r="B120" s="11"/>
      <c r="C120" s="11"/>
      <c r="D120" s="11"/>
      <c r="E120" s="11"/>
      <c r="F120" s="104"/>
    </row>
    <row r="121" spans="1:10" s="12" customFormat="1" ht="15">
      <c r="A121" s="113"/>
      <c r="B121" s="35"/>
      <c r="C121" s="35"/>
      <c r="D121" s="35"/>
      <c r="E121" s="35"/>
      <c r="F121" s="112"/>
      <c r="G121" s="38"/>
      <c r="H121" s="41"/>
      <c r="I121" s="41"/>
      <c r="J121" s="41"/>
    </row>
    <row r="122" spans="1:11" s="44" customFormat="1" ht="15.75" thickBot="1">
      <c r="A122" s="113" t="s">
        <v>67</v>
      </c>
      <c r="B122" s="25"/>
      <c r="C122" s="25"/>
      <c r="D122" s="11"/>
      <c r="E122" s="11"/>
      <c r="F122" s="121"/>
      <c r="H122" s="41"/>
      <c r="I122" s="41"/>
      <c r="J122" s="41"/>
      <c r="K122" s="18"/>
    </row>
    <row r="123" spans="1:10" s="41" customFormat="1" ht="30.75" thickBot="1">
      <c r="A123" s="9" t="s">
        <v>122</v>
      </c>
      <c r="B123" s="28" t="s">
        <v>68</v>
      </c>
      <c r="C123" s="28" t="s">
        <v>86</v>
      </c>
      <c r="D123" s="28" t="s">
        <v>111</v>
      </c>
      <c r="E123" s="27" t="s">
        <v>69</v>
      </c>
      <c r="F123" s="122"/>
      <c r="H123" s="18"/>
      <c r="I123" s="18"/>
      <c r="J123" s="18"/>
    </row>
    <row r="124" spans="1:10" s="41" customFormat="1" ht="15.75" thickBot="1">
      <c r="A124" s="123" t="s">
        <v>20</v>
      </c>
      <c r="B124" s="42"/>
      <c r="C124" s="42"/>
      <c r="D124" s="42"/>
      <c r="E124" s="96"/>
      <c r="F124" s="124"/>
      <c r="H124" s="18"/>
      <c r="I124" s="18"/>
      <c r="J124" s="18"/>
    </row>
    <row r="125" spans="1:7" ht="15">
      <c r="A125" s="204"/>
      <c r="B125" s="215"/>
      <c r="C125" s="216">
        <v>0</v>
      </c>
      <c r="D125" s="216">
        <v>0</v>
      </c>
      <c r="E125" s="98">
        <f>SUM(C125:D125)</f>
        <v>0</v>
      </c>
      <c r="F125" s="104"/>
      <c r="G125" s="18"/>
    </row>
    <row r="126" spans="1:7" ht="15">
      <c r="A126" s="208"/>
      <c r="B126" s="217"/>
      <c r="C126" s="218">
        <v>0</v>
      </c>
      <c r="D126" s="218">
        <v>0</v>
      </c>
      <c r="E126" s="99">
        <f aca="true" t="shared" si="0" ref="E126:E134">SUM(C126:D126)</f>
        <v>0</v>
      </c>
      <c r="F126" s="104"/>
      <c r="G126" s="18"/>
    </row>
    <row r="127" spans="1:7" ht="15">
      <c r="A127" s="208"/>
      <c r="B127" s="219"/>
      <c r="C127" s="218">
        <v>0</v>
      </c>
      <c r="D127" s="218">
        <v>0</v>
      </c>
      <c r="E127" s="99">
        <f t="shared" si="0"/>
        <v>0</v>
      </c>
      <c r="F127" s="104"/>
      <c r="G127" s="18"/>
    </row>
    <row r="128" spans="1:7" ht="15">
      <c r="A128" s="208"/>
      <c r="B128" s="219"/>
      <c r="C128" s="218">
        <v>0</v>
      </c>
      <c r="D128" s="218">
        <v>0</v>
      </c>
      <c r="E128" s="99">
        <f t="shared" si="0"/>
        <v>0</v>
      </c>
      <c r="F128" s="104"/>
      <c r="G128" s="18"/>
    </row>
    <row r="129" spans="1:7" ht="15">
      <c r="A129" s="208"/>
      <c r="B129" s="219"/>
      <c r="C129" s="218">
        <v>0</v>
      </c>
      <c r="D129" s="218">
        <v>0</v>
      </c>
      <c r="E129" s="99">
        <f t="shared" si="0"/>
        <v>0</v>
      </c>
      <c r="F129" s="104"/>
      <c r="G129" s="18"/>
    </row>
    <row r="130" spans="1:7" ht="15">
      <c r="A130" s="208"/>
      <c r="B130" s="219"/>
      <c r="C130" s="218">
        <v>0</v>
      </c>
      <c r="D130" s="218">
        <v>0</v>
      </c>
      <c r="E130" s="99">
        <f t="shared" si="0"/>
        <v>0</v>
      </c>
      <c r="F130" s="104"/>
      <c r="G130" s="18"/>
    </row>
    <row r="131" spans="1:7" ht="15">
      <c r="A131" s="208"/>
      <c r="B131" s="219"/>
      <c r="C131" s="218">
        <v>0</v>
      </c>
      <c r="D131" s="218">
        <v>0</v>
      </c>
      <c r="E131" s="99">
        <f t="shared" si="0"/>
        <v>0</v>
      </c>
      <c r="F131" s="104"/>
      <c r="G131" s="18"/>
    </row>
    <row r="132" spans="1:7" ht="15">
      <c r="A132" s="208"/>
      <c r="B132" s="219"/>
      <c r="C132" s="218">
        <v>0</v>
      </c>
      <c r="D132" s="218">
        <v>0</v>
      </c>
      <c r="E132" s="99">
        <f t="shared" si="0"/>
        <v>0</v>
      </c>
      <c r="F132" s="104"/>
      <c r="G132" s="18"/>
    </row>
    <row r="133" spans="1:7" ht="15">
      <c r="A133" s="208" t="s">
        <v>15</v>
      </c>
      <c r="B133" s="219" t="s">
        <v>15</v>
      </c>
      <c r="C133" s="218">
        <v>0</v>
      </c>
      <c r="D133" s="218">
        <v>0</v>
      </c>
      <c r="E133" s="99">
        <f t="shared" si="0"/>
        <v>0</v>
      </c>
      <c r="F133" s="104"/>
      <c r="G133" s="18"/>
    </row>
    <row r="134" spans="1:7" ht="15.75" thickBot="1">
      <c r="A134" s="212"/>
      <c r="B134" s="220"/>
      <c r="C134" s="221">
        <v>0</v>
      </c>
      <c r="D134" s="221">
        <v>0</v>
      </c>
      <c r="E134" s="100">
        <f t="shared" si="0"/>
        <v>0</v>
      </c>
      <c r="F134" s="104"/>
      <c r="G134" s="18"/>
    </row>
    <row r="135" spans="1:7" ht="15.75" thickBot="1">
      <c r="A135" s="123" t="s">
        <v>21</v>
      </c>
      <c r="B135" s="42"/>
      <c r="C135" s="43"/>
      <c r="D135" s="43"/>
      <c r="E135" s="97"/>
      <c r="F135" s="104"/>
      <c r="G135" s="18"/>
    </row>
    <row r="136" spans="1:7" ht="15">
      <c r="A136" s="208"/>
      <c r="B136" s="222"/>
      <c r="C136" s="218">
        <v>0</v>
      </c>
      <c r="D136" s="223">
        <v>0</v>
      </c>
      <c r="E136" s="98">
        <f>SUM(C136:D136)</f>
        <v>0</v>
      </c>
      <c r="F136" s="104"/>
      <c r="G136" s="18"/>
    </row>
    <row r="137" spans="1:7" ht="15">
      <c r="A137" s="208"/>
      <c r="B137" s="222"/>
      <c r="C137" s="218">
        <v>0</v>
      </c>
      <c r="D137" s="223">
        <v>0</v>
      </c>
      <c r="E137" s="99">
        <f aca="true" t="shared" si="1" ref="E137:E145">SUM(C137:D137)</f>
        <v>0</v>
      </c>
      <c r="F137" s="104"/>
      <c r="G137" s="18"/>
    </row>
    <row r="138" spans="1:7" ht="15">
      <c r="A138" s="208"/>
      <c r="B138" s="224"/>
      <c r="C138" s="218">
        <v>0</v>
      </c>
      <c r="D138" s="223">
        <v>0</v>
      </c>
      <c r="E138" s="99">
        <f t="shared" si="1"/>
        <v>0</v>
      </c>
      <c r="F138" s="104"/>
      <c r="G138" s="18"/>
    </row>
    <row r="139" spans="1:7" ht="15">
      <c r="A139" s="208"/>
      <c r="B139" s="224"/>
      <c r="C139" s="218">
        <v>0</v>
      </c>
      <c r="D139" s="223">
        <v>0</v>
      </c>
      <c r="E139" s="99">
        <f t="shared" si="1"/>
        <v>0</v>
      </c>
      <c r="F139" s="104"/>
      <c r="G139" s="18"/>
    </row>
    <row r="140" spans="1:7" ht="15">
      <c r="A140" s="208"/>
      <c r="B140" s="224"/>
      <c r="C140" s="218">
        <v>0</v>
      </c>
      <c r="D140" s="223">
        <v>0</v>
      </c>
      <c r="E140" s="99">
        <f t="shared" si="1"/>
        <v>0</v>
      </c>
      <c r="F140" s="104"/>
      <c r="G140" s="18"/>
    </row>
    <row r="141" spans="1:7" ht="15">
      <c r="A141" s="208"/>
      <c r="B141" s="224"/>
      <c r="C141" s="218">
        <v>0</v>
      </c>
      <c r="D141" s="223">
        <v>0</v>
      </c>
      <c r="E141" s="99">
        <f t="shared" si="1"/>
        <v>0</v>
      </c>
      <c r="F141" s="104"/>
      <c r="G141" s="18"/>
    </row>
    <row r="142" spans="1:7" ht="15">
      <c r="A142" s="208"/>
      <c r="B142" s="224"/>
      <c r="C142" s="218">
        <v>0</v>
      </c>
      <c r="D142" s="223">
        <v>0</v>
      </c>
      <c r="E142" s="99">
        <f t="shared" si="1"/>
        <v>0</v>
      </c>
      <c r="F142" s="104"/>
      <c r="G142" s="18"/>
    </row>
    <row r="143" spans="1:7" ht="15">
      <c r="A143" s="208"/>
      <c r="B143" s="224"/>
      <c r="C143" s="218">
        <v>0</v>
      </c>
      <c r="D143" s="223">
        <v>0</v>
      </c>
      <c r="E143" s="99">
        <f t="shared" si="1"/>
        <v>0</v>
      </c>
      <c r="F143" s="104"/>
      <c r="G143" s="18"/>
    </row>
    <row r="144" spans="1:7" ht="15">
      <c r="A144" s="208"/>
      <c r="B144" s="224"/>
      <c r="C144" s="218">
        <v>0</v>
      </c>
      <c r="D144" s="223">
        <v>0</v>
      </c>
      <c r="E144" s="99">
        <f t="shared" si="1"/>
        <v>0</v>
      </c>
      <c r="F144" s="104"/>
      <c r="G144" s="18"/>
    </row>
    <row r="145" spans="1:7" ht="15.75" thickBot="1">
      <c r="A145" s="208"/>
      <c r="B145" s="224"/>
      <c r="C145" s="218">
        <v>0</v>
      </c>
      <c r="D145" s="223">
        <v>0</v>
      </c>
      <c r="E145" s="100">
        <f t="shared" si="1"/>
        <v>0</v>
      </c>
      <c r="F145" s="104"/>
      <c r="G145" s="18"/>
    </row>
    <row r="146" spans="1:7" ht="15.75" thickBot="1">
      <c r="A146" s="102" t="s">
        <v>22</v>
      </c>
      <c r="B146" s="42"/>
      <c r="C146" s="43"/>
      <c r="D146" s="43"/>
      <c r="E146" s="97"/>
      <c r="F146" s="104"/>
      <c r="G146" s="18"/>
    </row>
    <row r="147" spans="1:7" ht="15">
      <c r="A147" s="208"/>
      <c r="B147" s="222"/>
      <c r="C147" s="218">
        <v>0</v>
      </c>
      <c r="D147" s="223">
        <v>0</v>
      </c>
      <c r="E147" s="98">
        <f>SUM(C147:D147)/2</f>
        <v>0</v>
      </c>
      <c r="F147" s="104"/>
      <c r="G147" s="18"/>
    </row>
    <row r="148" spans="1:7" ht="15">
      <c r="A148" s="208"/>
      <c r="B148" s="224"/>
      <c r="C148" s="218">
        <v>0</v>
      </c>
      <c r="D148" s="223">
        <v>0</v>
      </c>
      <c r="E148" s="99">
        <f>SUM(C148:D148)/2</f>
        <v>0</v>
      </c>
      <c r="F148" s="104"/>
      <c r="G148" s="18"/>
    </row>
    <row r="149" spans="1:7" ht="15">
      <c r="A149" s="208"/>
      <c r="B149" s="224"/>
      <c r="C149" s="218">
        <v>0</v>
      </c>
      <c r="D149" s="223">
        <v>0</v>
      </c>
      <c r="E149" s="99">
        <f>SUM(C149:D149)/2</f>
        <v>0</v>
      </c>
      <c r="F149" s="104"/>
      <c r="G149" s="18"/>
    </row>
    <row r="150" spans="1:7" ht="15">
      <c r="A150" s="208" t="s">
        <v>15</v>
      </c>
      <c r="B150" s="224"/>
      <c r="C150" s="218">
        <v>0</v>
      </c>
      <c r="D150" s="223">
        <v>0</v>
      </c>
      <c r="E150" s="99">
        <f>SUM(C150:D150)/2</f>
        <v>0</v>
      </c>
      <c r="F150" s="104"/>
      <c r="G150" s="18"/>
    </row>
    <row r="151" spans="1:7" ht="15.75" thickBot="1">
      <c r="A151" s="212" t="s">
        <v>15</v>
      </c>
      <c r="B151" s="225"/>
      <c r="C151" s="221">
        <v>0</v>
      </c>
      <c r="D151" s="226">
        <v>0</v>
      </c>
      <c r="E151" s="100">
        <f>SUM(C151:D151)/2</f>
        <v>0</v>
      </c>
      <c r="F151" s="104"/>
      <c r="G151" s="18"/>
    </row>
    <row r="152" spans="1:6" ht="16.5" thickBot="1">
      <c r="A152" s="125"/>
      <c r="B152" s="143"/>
      <c r="C152" s="143"/>
      <c r="D152" s="143"/>
      <c r="E152" s="126">
        <f>SUM(E125:E151)</f>
        <v>0</v>
      </c>
      <c r="F152" s="132"/>
    </row>
    <row r="153" spans="1:6" ht="15.75">
      <c r="A153" s="127"/>
      <c r="B153" s="145"/>
      <c r="C153" s="145"/>
      <c r="D153" s="145"/>
      <c r="E153" s="145"/>
      <c r="F153" s="128"/>
    </row>
    <row r="154" spans="1:6" ht="32.25" customHeight="1" thickBot="1">
      <c r="A154" s="299" t="s">
        <v>197</v>
      </c>
      <c r="B154" s="301"/>
      <c r="C154" s="301"/>
      <c r="D154" s="301"/>
      <c r="E154" s="301"/>
      <c r="F154" s="302"/>
    </row>
    <row r="155" spans="1:6" ht="45.75" thickBot="1">
      <c r="A155" s="113"/>
      <c r="B155" s="110" t="s">
        <v>122</v>
      </c>
      <c r="C155" s="28" t="s">
        <v>123</v>
      </c>
      <c r="D155" s="9" t="s">
        <v>167</v>
      </c>
      <c r="E155" s="11"/>
      <c r="F155" s="129"/>
    </row>
    <row r="156" spans="1:6" ht="15.75">
      <c r="A156" s="113"/>
      <c r="B156" s="227"/>
      <c r="C156" s="228"/>
      <c r="D156" s="229"/>
      <c r="E156" s="11"/>
      <c r="F156" s="129"/>
    </row>
    <row r="157" spans="1:6" ht="15.75">
      <c r="A157" s="113"/>
      <c r="B157" s="230"/>
      <c r="C157" s="231"/>
      <c r="D157" s="232"/>
      <c r="E157" s="11"/>
      <c r="F157" s="129"/>
    </row>
    <row r="158" spans="1:6" ht="15.75">
      <c r="A158" s="113"/>
      <c r="B158" s="230"/>
      <c r="C158" s="231"/>
      <c r="D158" s="232"/>
      <c r="E158" s="11"/>
      <c r="F158" s="129"/>
    </row>
    <row r="159" spans="1:6" ht="15.75">
      <c r="A159" s="113"/>
      <c r="B159" s="233"/>
      <c r="C159" s="234"/>
      <c r="D159" s="235"/>
      <c r="E159" s="11"/>
      <c r="F159" s="129"/>
    </row>
    <row r="160" spans="1:6" ht="16.5" thickBot="1">
      <c r="A160" s="113"/>
      <c r="B160" s="236"/>
      <c r="C160" s="237"/>
      <c r="D160" s="238"/>
      <c r="E160" s="11"/>
      <c r="F160" s="129"/>
    </row>
    <row r="161" spans="1:6" ht="15.75">
      <c r="A161" s="130"/>
      <c r="B161" s="11"/>
      <c r="C161" s="11"/>
      <c r="D161" s="11"/>
      <c r="E161" s="11"/>
      <c r="F161" s="129"/>
    </row>
    <row r="162" spans="1:6" ht="15.75" thickBot="1">
      <c r="A162" s="293" t="s">
        <v>215</v>
      </c>
      <c r="B162" s="294"/>
      <c r="C162" s="294"/>
      <c r="D162" s="294"/>
      <c r="E162" s="294"/>
      <c r="F162" s="295"/>
    </row>
    <row r="163" spans="1:6" ht="60.75" thickBot="1">
      <c r="A163" s="113"/>
      <c r="B163" s="9" t="s">
        <v>66</v>
      </c>
      <c r="C163" s="9" t="s">
        <v>122</v>
      </c>
      <c r="D163" s="28" t="s">
        <v>123</v>
      </c>
      <c r="E163" s="9" t="s">
        <v>137</v>
      </c>
      <c r="F163" s="129"/>
    </row>
    <row r="164" spans="1:6" ht="15.75">
      <c r="A164" s="113"/>
      <c r="B164" s="206"/>
      <c r="C164" s="204"/>
      <c r="D164" s="239"/>
      <c r="E164" s="215"/>
      <c r="F164" s="129"/>
    </row>
    <row r="165" spans="1:6" ht="15.75">
      <c r="A165" s="113"/>
      <c r="B165" s="240"/>
      <c r="C165" s="241"/>
      <c r="D165" s="242"/>
      <c r="E165" s="243"/>
      <c r="F165" s="129"/>
    </row>
    <row r="166" spans="1:6" ht="15.75">
      <c r="A166" s="113"/>
      <c r="B166" s="240"/>
      <c r="C166" s="241"/>
      <c r="D166" s="242"/>
      <c r="E166" s="243"/>
      <c r="F166" s="129"/>
    </row>
    <row r="167" spans="1:6" ht="15.75">
      <c r="A167" s="113"/>
      <c r="B167" s="210"/>
      <c r="C167" s="208"/>
      <c r="D167" s="224"/>
      <c r="E167" s="217"/>
      <c r="F167" s="129"/>
    </row>
    <row r="168" spans="1:6" ht="16.5" thickBot="1">
      <c r="A168" s="113"/>
      <c r="B168" s="214"/>
      <c r="C168" s="212"/>
      <c r="D168" s="225"/>
      <c r="E168" s="244"/>
      <c r="F168" s="129"/>
    </row>
    <row r="169" spans="1:6" ht="15.75">
      <c r="A169" s="113"/>
      <c r="B169" s="153">
        <f>COUNT(B164:B168)</f>
        <v>0</v>
      </c>
      <c r="C169" s="101"/>
      <c r="D169" s="101"/>
      <c r="E169" s="101"/>
      <c r="F169" s="129"/>
    </row>
    <row r="170" spans="1:6" ht="15.75">
      <c r="A170" s="130"/>
      <c r="B170" s="11"/>
      <c r="C170" s="11"/>
      <c r="D170" s="11"/>
      <c r="E170" s="11"/>
      <c r="F170" s="129"/>
    </row>
    <row r="171" spans="1:10" ht="15.75">
      <c r="A171" s="113" t="s">
        <v>58</v>
      </c>
      <c r="B171" s="10"/>
      <c r="C171" s="30">
        <f>E152+B169</f>
        <v>0</v>
      </c>
      <c r="D171" s="11"/>
      <c r="E171" s="11"/>
      <c r="F171" s="104"/>
      <c r="G171" s="154"/>
      <c r="H171" s="41"/>
      <c r="I171" s="41"/>
      <c r="J171" s="41"/>
    </row>
    <row r="172" spans="1:7" ht="16.5" thickBot="1">
      <c r="A172" s="113"/>
      <c r="B172" s="10"/>
      <c r="C172" s="11"/>
      <c r="D172" s="11"/>
      <c r="E172" s="11"/>
      <c r="F172" s="104"/>
      <c r="G172" s="154"/>
    </row>
    <row r="173" spans="1:11" s="148" customFormat="1" ht="15.75" thickBot="1">
      <c r="A173" s="155"/>
      <c r="B173" s="27"/>
      <c r="C173" s="27" t="s">
        <v>49</v>
      </c>
      <c r="D173" s="9" t="s">
        <v>120</v>
      </c>
      <c r="E173" s="146"/>
      <c r="F173" s="124"/>
      <c r="G173" s="45"/>
      <c r="H173" s="18"/>
      <c r="I173" s="18"/>
      <c r="J173" s="18"/>
      <c r="K173" s="41"/>
    </row>
    <row r="174" spans="1:6" ht="15">
      <c r="A174" s="113"/>
      <c r="B174" s="46" t="s">
        <v>57</v>
      </c>
      <c r="C174" s="47">
        <v>0</v>
      </c>
      <c r="D174" s="144" t="str">
        <f>IF($C$171&gt;=0,IF($C$171&lt;=0.49,"0",0))</f>
        <v>0</v>
      </c>
      <c r="E174" s="11"/>
      <c r="F174" s="104"/>
    </row>
    <row r="175" spans="1:6" ht="15">
      <c r="A175" s="113"/>
      <c r="B175" s="48" t="s">
        <v>124</v>
      </c>
      <c r="C175" s="47">
        <v>5</v>
      </c>
      <c r="D175" s="47" t="b">
        <f>IF($C$171&gt;=0.5,IF($C$171&lt;=0.99,"5",0))</f>
        <v>0</v>
      </c>
      <c r="E175" s="11"/>
      <c r="F175" s="104"/>
    </row>
    <row r="176" spans="1:6" ht="15">
      <c r="A176" s="113"/>
      <c r="B176" s="48" t="s">
        <v>125</v>
      </c>
      <c r="C176" s="47">
        <v>6</v>
      </c>
      <c r="D176" s="47" t="b">
        <f>IF($C$171&gt;=1,IF($C$171&lt;=1.49,"6",0))</f>
        <v>0</v>
      </c>
      <c r="E176" s="11"/>
      <c r="F176" s="104"/>
    </row>
    <row r="177" spans="1:6" ht="15">
      <c r="A177" s="113"/>
      <c r="B177" s="48" t="s">
        <v>126</v>
      </c>
      <c r="C177" s="47">
        <v>7</v>
      </c>
      <c r="D177" s="47" t="b">
        <f>IF($C$171&gt;=1.5,IF($C$171&lt;=1.99,"7",0))</f>
        <v>0</v>
      </c>
      <c r="E177" s="11"/>
      <c r="F177" s="104"/>
    </row>
    <row r="178" spans="1:6" ht="15">
      <c r="A178" s="113"/>
      <c r="B178" s="92" t="s">
        <v>127</v>
      </c>
      <c r="C178" s="93">
        <v>8</v>
      </c>
      <c r="D178" s="47" t="b">
        <f>IF($C$171&gt;=2,IF($C$171&lt;=2.49,"8",0))</f>
        <v>0</v>
      </c>
      <c r="E178" s="11"/>
      <c r="F178" s="104"/>
    </row>
    <row r="179" spans="1:6" ht="30.75" thickBot="1">
      <c r="A179" s="113"/>
      <c r="B179" s="49" t="s">
        <v>43</v>
      </c>
      <c r="C179" s="50">
        <v>9</v>
      </c>
      <c r="D179" s="50">
        <f>IF($C$171&gt;=2.5,"9",0)</f>
        <v>0</v>
      </c>
      <c r="E179" s="29"/>
      <c r="F179" s="104"/>
    </row>
    <row r="180" spans="1:6" ht="15.75">
      <c r="A180" s="113"/>
      <c r="B180" s="35"/>
      <c r="C180" s="25"/>
      <c r="D180" s="62">
        <f>D174+D175+D176+D177+D178+D179</f>
        <v>0</v>
      </c>
      <c r="E180" s="29"/>
      <c r="F180" s="104"/>
    </row>
    <row r="181" spans="1:6" ht="15.75">
      <c r="A181" s="113"/>
      <c r="B181" s="11"/>
      <c r="C181" s="11"/>
      <c r="D181" s="29"/>
      <c r="E181" s="11"/>
      <c r="F181" s="104"/>
    </row>
    <row r="182" spans="1:6" ht="15.75">
      <c r="A182" s="113" t="s">
        <v>29</v>
      </c>
      <c r="B182" s="1"/>
      <c r="C182" s="11"/>
      <c r="D182" s="30">
        <f>D180</f>
        <v>0</v>
      </c>
      <c r="E182" s="11"/>
      <c r="F182" s="104"/>
    </row>
    <row r="183" spans="1:6" ht="15.75">
      <c r="A183" s="113"/>
      <c r="B183" s="1"/>
      <c r="C183" s="11"/>
      <c r="D183" s="29"/>
      <c r="E183" s="11"/>
      <c r="F183" s="104"/>
    </row>
    <row r="184" spans="1:6" ht="15.75">
      <c r="A184" s="114" t="s">
        <v>135</v>
      </c>
      <c r="B184" s="1"/>
      <c r="C184" s="11"/>
      <c r="D184" s="29"/>
      <c r="E184" s="11"/>
      <c r="F184" s="104"/>
    </row>
    <row r="185" spans="1:6" ht="15.75">
      <c r="A185" s="293" t="s">
        <v>136</v>
      </c>
      <c r="B185" s="274"/>
      <c r="C185" s="274"/>
      <c r="D185" s="274"/>
      <c r="E185" s="274"/>
      <c r="F185" s="275"/>
    </row>
    <row r="186" spans="1:6" ht="30" customHeight="1">
      <c r="A186" s="293" t="s">
        <v>198</v>
      </c>
      <c r="B186" s="294"/>
      <c r="C186" s="294"/>
      <c r="D186" s="294"/>
      <c r="E186" s="294"/>
      <c r="F186" s="295"/>
    </row>
    <row r="187" spans="1:6" ht="15">
      <c r="A187" s="166"/>
      <c r="B187" s="101"/>
      <c r="C187" s="101"/>
      <c r="D187" s="101"/>
      <c r="E187" s="101"/>
      <c r="F187" s="140"/>
    </row>
    <row r="188" spans="1:6" ht="15.75">
      <c r="A188" s="109" t="s">
        <v>37</v>
      </c>
      <c r="B188" s="11"/>
      <c r="C188" s="51" t="s">
        <v>30</v>
      </c>
      <c r="D188" s="11"/>
      <c r="E188" s="11"/>
      <c r="F188" s="104"/>
    </row>
    <row r="189" spans="1:6" ht="16.5" thickBot="1">
      <c r="A189" s="113"/>
      <c r="B189" s="25"/>
      <c r="C189" s="52">
        <v>3</v>
      </c>
      <c r="D189" s="11"/>
      <c r="E189" s="11"/>
      <c r="F189" s="104"/>
    </row>
    <row r="190" spans="1:6" ht="16.5" thickBot="1">
      <c r="A190" s="113"/>
      <c r="B190" s="156"/>
      <c r="C190" s="53">
        <f>ROUND((C98+C115+D182)/3,2)</f>
        <v>0</v>
      </c>
      <c r="D190" s="11"/>
      <c r="E190" s="11"/>
      <c r="F190" s="104"/>
    </row>
    <row r="191" spans="1:6" ht="16.5" thickBot="1">
      <c r="A191" s="118"/>
      <c r="B191" s="180" t="s">
        <v>87</v>
      </c>
      <c r="C191" s="143"/>
      <c r="D191" s="143"/>
      <c r="E191" s="143"/>
      <c r="F191" s="132"/>
    </row>
    <row r="192" spans="1:6" ht="15.75">
      <c r="A192" s="135" t="s">
        <v>82</v>
      </c>
      <c r="B192" s="145"/>
      <c r="C192" s="145"/>
      <c r="D192" s="145"/>
      <c r="E192" s="145"/>
      <c r="F192" s="105"/>
    </row>
    <row r="193" spans="1:7" s="7" customFormat="1" ht="72" customHeight="1">
      <c r="A193" s="296" t="s">
        <v>216</v>
      </c>
      <c r="B193" s="297"/>
      <c r="C193" s="297"/>
      <c r="D193" s="297"/>
      <c r="E193" s="297"/>
      <c r="F193" s="298"/>
      <c r="G193" s="54"/>
    </row>
    <row r="194" spans="1:7" s="7" customFormat="1" ht="16.5" thickBot="1">
      <c r="A194" s="113"/>
      <c r="B194" s="35"/>
      <c r="C194" s="143"/>
      <c r="D194" s="11"/>
      <c r="E194" s="11"/>
      <c r="F194" s="104"/>
      <c r="G194" s="54"/>
    </row>
    <row r="195" spans="1:7" s="7" customFormat="1" ht="30.75" thickBot="1">
      <c r="A195" s="113"/>
      <c r="B195" s="35"/>
      <c r="C195" s="267" t="s">
        <v>46</v>
      </c>
      <c r="D195" s="11"/>
      <c r="E195" s="11"/>
      <c r="F195" s="104"/>
      <c r="G195" s="54"/>
    </row>
    <row r="196" spans="1:7" s="7" customFormat="1" ht="16.5" thickBot="1">
      <c r="A196" s="113" t="s">
        <v>83</v>
      </c>
      <c r="B196" s="11"/>
      <c r="C196" s="268"/>
      <c r="D196" s="11"/>
      <c r="E196" s="11"/>
      <c r="F196" s="104"/>
      <c r="G196" s="54"/>
    </row>
    <row r="197" spans="1:15" s="26" customFormat="1" ht="15.75">
      <c r="A197" s="113"/>
      <c r="B197" s="11"/>
      <c r="C197" s="29">
        <f>C196</f>
        <v>0</v>
      </c>
      <c r="D197" s="11"/>
      <c r="E197" s="11"/>
      <c r="F197" s="104"/>
      <c r="G197" s="55"/>
      <c r="H197" s="7"/>
      <c r="I197" s="7"/>
      <c r="J197" s="7"/>
      <c r="K197" s="7"/>
      <c r="L197" s="7"/>
      <c r="M197" s="7"/>
      <c r="N197" s="7"/>
      <c r="O197" s="7"/>
    </row>
    <row r="198" spans="1:15" s="26" customFormat="1" ht="15.75">
      <c r="A198" s="113"/>
      <c r="B198" s="11"/>
      <c r="C198" s="11"/>
      <c r="D198" s="11"/>
      <c r="E198" s="11"/>
      <c r="F198" s="104"/>
      <c r="G198" s="55"/>
      <c r="H198" s="7"/>
      <c r="I198" s="7"/>
      <c r="J198" s="7"/>
      <c r="K198" s="7"/>
      <c r="L198" s="7"/>
      <c r="M198" s="7"/>
      <c r="N198" s="7"/>
      <c r="O198" s="7"/>
    </row>
    <row r="199" spans="1:15" s="6" customFormat="1" ht="35.25" customHeight="1">
      <c r="A199" s="299" t="s">
        <v>6</v>
      </c>
      <c r="B199" s="301"/>
      <c r="C199" s="301"/>
      <c r="D199" s="30">
        <f>ROUND(C197*1.8,2)</f>
        <v>0</v>
      </c>
      <c r="E199" s="11"/>
      <c r="F199" s="104"/>
      <c r="G199" s="54"/>
      <c r="K199" s="7"/>
      <c r="L199" s="7"/>
      <c r="M199" s="7"/>
      <c r="N199" s="7"/>
      <c r="O199" s="7"/>
    </row>
    <row r="200" spans="1:15" s="6" customFormat="1" ht="15.75">
      <c r="A200" s="113"/>
      <c r="B200" s="11"/>
      <c r="C200" s="11"/>
      <c r="D200" s="29"/>
      <c r="E200" s="11"/>
      <c r="F200" s="104"/>
      <c r="G200" s="54"/>
      <c r="H200" s="7"/>
      <c r="I200" s="7"/>
      <c r="J200" s="7"/>
      <c r="K200" s="7"/>
      <c r="L200" s="7"/>
      <c r="M200" s="7"/>
      <c r="N200" s="7"/>
      <c r="O200" s="7"/>
    </row>
    <row r="201" spans="1:15" s="6" customFormat="1" ht="15">
      <c r="A201" s="303" t="s">
        <v>9</v>
      </c>
      <c r="B201" s="304"/>
      <c r="C201" s="304"/>
      <c r="D201" s="304"/>
      <c r="E201" s="304"/>
      <c r="F201" s="305"/>
      <c r="H201" s="7"/>
      <c r="I201" s="7"/>
      <c r="J201" s="7"/>
      <c r="L201" s="7"/>
      <c r="M201" s="7"/>
      <c r="N201" s="7"/>
      <c r="O201" s="7"/>
    </row>
    <row r="202" spans="1:6" s="7" customFormat="1" ht="15">
      <c r="A202" s="113"/>
      <c r="B202" s="11" t="s">
        <v>23</v>
      </c>
      <c r="C202" s="11"/>
      <c r="D202" s="11"/>
      <c r="E202" s="11"/>
      <c r="F202" s="104"/>
    </row>
    <row r="203" spans="1:6" s="7" customFormat="1" ht="33.75" customHeight="1">
      <c r="A203" s="269" t="s">
        <v>31</v>
      </c>
      <c r="B203" s="311" t="s">
        <v>168</v>
      </c>
      <c r="C203" s="311"/>
      <c r="D203" s="311"/>
      <c r="E203" s="311"/>
      <c r="F203" s="312"/>
    </row>
    <row r="204" spans="1:6" s="7" customFormat="1" ht="48" customHeight="1">
      <c r="A204" s="269" t="s">
        <v>32</v>
      </c>
      <c r="B204" s="311" t="s">
        <v>169</v>
      </c>
      <c r="C204" s="311"/>
      <c r="D204" s="311"/>
      <c r="E204" s="311"/>
      <c r="F204" s="312"/>
    </row>
    <row r="205" spans="1:6" s="7" customFormat="1" ht="15">
      <c r="A205" s="269"/>
      <c r="B205" s="35"/>
      <c r="C205" s="35"/>
      <c r="D205" s="35"/>
      <c r="E205" s="35"/>
      <c r="F205" s="112"/>
    </row>
    <row r="206" spans="1:6" s="7" customFormat="1" ht="35.25" customHeight="1">
      <c r="A206" s="299" t="s">
        <v>84</v>
      </c>
      <c r="B206" s="311"/>
      <c r="C206" s="311"/>
      <c r="D206" s="311"/>
      <c r="E206" s="311"/>
      <c r="F206" s="312"/>
    </row>
    <row r="207" spans="1:6" s="7" customFormat="1" ht="15.75" thickBot="1">
      <c r="A207" s="113"/>
      <c r="B207" s="11"/>
      <c r="C207" s="11"/>
      <c r="D207" s="11"/>
      <c r="E207" s="11"/>
      <c r="F207" s="104"/>
    </row>
    <row r="208" spans="1:15" ht="45.75" thickBot="1">
      <c r="A208" s="9" t="s">
        <v>33</v>
      </c>
      <c r="B208" s="9" t="s">
        <v>34</v>
      </c>
      <c r="C208" s="9" t="s">
        <v>35</v>
      </c>
      <c r="D208" s="9" t="s">
        <v>170</v>
      </c>
      <c r="E208" s="9" t="s">
        <v>171</v>
      </c>
      <c r="F208" s="9" t="s">
        <v>69</v>
      </c>
      <c r="G208" s="7"/>
      <c r="H208" s="7"/>
      <c r="I208" s="7"/>
      <c r="J208" s="7"/>
      <c r="K208" s="7"/>
      <c r="L208" s="7"/>
      <c r="M208" s="15"/>
      <c r="N208" s="15"/>
      <c r="O208" s="15"/>
    </row>
    <row r="209" spans="1:15" ht="15.75">
      <c r="A209" s="241"/>
      <c r="B209" s="240"/>
      <c r="C209" s="240"/>
      <c r="D209" s="245"/>
      <c r="E209" s="167" t="str">
        <f>IF($D$209&lt;40,"1",IF($D$209&gt;=100,"2","1.5"))</f>
        <v>1</v>
      </c>
      <c r="F209" s="168">
        <f>(B209*E209)+(C209*3)</f>
        <v>0</v>
      </c>
      <c r="G209" s="18"/>
      <c r="M209" s="15"/>
      <c r="N209" s="15"/>
      <c r="O209" s="15"/>
    </row>
    <row r="210" spans="1:15" ht="15.75">
      <c r="A210" s="241"/>
      <c r="B210" s="240"/>
      <c r="C210" s="240"/>
      <c r="D210" s="246"/>
      <c r="E210" s="169" t="str">
        <f>IF($D$210&lt;40,"1",IF($D$210&gt;=100,"2","1.5"))</f>
        <v>1</v>
      </c>
      <c r="F210" s="170">
        <f>(B210*E210)+(C210*3)</f>
        <v>0</v>
      </c>
      <c r="G210" s="18"/>
      <c r="M210" s="15"/>
      <c r="N210" s="15"/>
      <c r="O210" s="15"/>
    </row>
    <row r="211" spans="1:7" ht="15">
      <c r="A211" s="208"/>
      <c r="B211" s="210"/>
      <c r="C211" s="210"/>
      <c r="D211" s="247"/>
      <c r="E211" s="169" t="str">
        <f>IF($D$211&lt;40,"1",IF($D$211&gt;=100,"2","1.5"))</f>
        <v>1</v>
      </c>
      <c r="F211" s="170">
        <f>(B211*E211)+(C211*3)</f>
        <v>0</v>
      </c>
      <c r="G211" s="18"/>
    </row>
    <row r="212" spans="1:7" ht="15">
      <c r="A212" s="208" t="s">
        <v>15</v>
      </c>
      <c r="B212" s="210"/>
      <c r="C212" s="210"/>
      <c r="D212" s="247"/>
      <c r="E212" s="169" t="str">
        <f>IF($D$212&lt;40,"1",IF($D$212&gt;=100,"2","1.5"))</f>
        <v>1</v>
      </c>
      <c r="F212" s="170">
        <f>(B212*E212)+(C212*3)</f>
        <v>0</v>
      </c>
      <c r="G212" s="18"/>
    </row>
    <row r="213" spans="1:7" ht="15.75" thickBot="1">
      <c r="A213" s="236"/>
      <c r="B213" s="211"/>
      <c r="C213" s="211"/>
      <c r="D213" s="248"/>
      <c r="E213" s="171" t="str">
        <f>IF($D$213&lt;40,"1",IF($D$213&gt;=100,"2","1.5"))</f>
        <v>1</v>
      </c>
      <c r="F213" s="172">
        <f>(B213*E213)+(C213*3)</f>
        <v>0</v>
      </c>
      <c r="G213" s="18"/>
    </row>
    <row r="214" spans="1:7" ht="15.75">
      <c r="A214" s="113" t="s">
        <v>36</v>
      </c>
      <c r="B214" s="11"/>
      <c r="C214" s="11"/>
      <c r="D214" s="11"/>
      <c r="E214" s="11"/>
      <c r="F214" s="131">
        <f>F209+F210+F211+F212+F213</f>
        <v>0</v>
      </c>
      <c r="G214" s="18"/>
    </row>
    <row r="215" spans="1:7" ht="15">
      <c r="A215" s="113"/>
      <c r="B215" s="11"/>
      <c r="C215" s="11"/>
      <c r="D215" s="11"/>
      <c r="E215" s="11"/>
      <c r="F215" s="104"/>
      <c r="G215" s="18"/>
    </row>
    <row r="216" spans="1:7" ht="16.5" thickBot="1">
      <c r="A216" s="113"/>
      <c r="B216" s="90" t="s">
        <v>3</v>
      </c>
      <c r="C216" s="11"/>
      <c r="D216" s="11"/>
      <c r="E216" s="11"/>
      <c r="F216" s="104"/>
      <c r="G216" s="18"/>
    </row>
    <row r="217" spans="1:7" ht="15">
      <c r="A217" s="113"/>
      <c r="B217" s="46" t="s">
        <v>18</v>
      </c>
      <c r="C217" s="46">
        <v>100</v>
      </c>
      <c r="D217" s="11"/>
      <c r="E217" s="11"/>
      <c r="F217" s="104"/>
      <c r="G217" s="18"/>
    </row>
    <row r="218" spans="1:12" ht="15">
      <c r="A218" s="113"/>
      <c r="B218" s="61" t="s">
        <v>24</v>
      </c>
      <c r="C218" s="61">
        <v>100</v>
      </c>
      <c r="D218" s="35"/>
      <c r="E218" s="35"/>
      <c r="F218" s="104"/>
      <c r="G218" s="18"/>
      <c r="L218" s="56"/>
    </row>
    <row r="219" spans="1:12" ht="31.5">
      <c r="A219" s="113"/>
      <c r="B219" s="94" t="s">
        <v>25</v>
      </c>
      <c r="C219" s="94">
        <v>90</v>
      </c>
      <c r="D219" s="35"/>
      <c r="E219" s="35"/>
      <c r="F219" s="104"/>
      <c r="G219" s="18"/>
      <c r="L219" s="56"/>
    </row>
    <row r="220" spans="1:12" ht="15.75">
      <c r="A220" s="113"/>
      <c r="B220" s="94" t="s">
        <v>26</v>
      </c>
      <c r="C220" s="94">
        <v>90</v>
      </c>
      <c r="D220" s="35"/>
      <c r="E220" s="35"/>
      <c r="F220" s="104"/>
      <c r="G220" s="18"/>
      <c r="L220" s="56"/>
    </row>
    <row r="221" spans="1:12" ht="15.75" thickBot="1">
      <c r="A221" s="111"/>
      <c r="B221" s="49" t="s">
        <v>27</v>
      </c>
      <c r="C221" s="49">
        <v>50</v>
      </c>
      <c r="D221" s="35"/>
      <c r="E221" s="35"/>
      <c r="F221" s="104"/>
      <c r="G221" s="18"/>
      <c r="L221" s="56"/>
    </row>
    <row r="222" spans="1:12" ht="15.75">
      <c r="A222" s="111"/>
      <c r="B222" s="23"/>
      <c r="C222" s="23"/>
      <c r="D222" s="35"/>
      <c r="E222" s="35"/>
      <c r="F222" s="104"/>
      <c r="G222" s="18"/>
      <c r="L222" s="56"/>
    </row>
    <row r="223" spans="1:12" ht="16.5" thickBot="1">
      <c r="A223" s="111"/>
      <c r="B223" s="23"/>
      <c r="C223" s="23"/>
      <c r="D223" s="35"/>
      <c r="E223" s="35"/>
      <c r="F223" s="104"/>
      <c r="G223" s="18"/>
      <c r="L223" s="56"/>
    </row>
    <row r="224" spans="1:12" ht="15.75" thickBot="1">
      <c r="A224" s="111"/>
      <c r="B224" s="9" t="s">
        <v>28</v>
      </c>
      <c r="C224" s="27" t="s">
        <v>49</v>
      </c>
      <c r="D224" s="9" t="s">
        <v>120</v>
      </c>
      <c r="E224" s="35"/>
      <c r="F224" s="104"/>
      <c r="G224" s="18"/>
      <c r="L224" s="56"/>
    </row>
    <row r="225" spans="1:7" ht="15">
      <c r="A225" s="113"/>
      <c r="B225" s="138" t="s">
        <v>180</v>
      </c>
      <c r="C225" s="138">
        <v>1</v>
      </c>
      <c r="D225" s="47" t="str">
        <f>IF($F$214&lt;29,"1",0)</f>
        <v>1</v>
      </c>
      <c r="E225" s="11"/>
      <c r="F225" s="104"/>
      <c r="G225" s="18"/>
    </row>
    <row r="226" spans="1:7" ht="15">
      <c r="A226" s="113"/>
      <c r="B226" s="48" t="s">
        <v>174</v>
      </c>
      <c r="C226" s="47">
        <v>2</v>
      </c>
      <c r="D226" s="47" t="b">
        <f>IF($F$214&gt;=30,IF($F$214&lt;=49,"2",0))</f>
        <v>0</v>
      </c>
      <c r="E226" s="11"/>
      <c r="F226" s="104"/>
      <c r="G226" s="18"/>
    </row>
    <row r="227" spans="1:7" ht="15">
      <c r="A227" s="113"/>
      <c r="B227" s="48" t="s">
        <v>181</v>
      </c>
      <c r="C227" s="47">
        <v>3</v>
      </c>
      <c r="D227" s="47" t="b">
        <f>IF($F$214&gt;=50,IF($F$214&lt;=69,"3",0))</f>
        <v>0</v>
      </c>
      <c r="E227" s="11"/>
      <c r="F227" s="104"/>
      <c r="G227" s="18"/>
    </row>
    <row r="228" spans="1:7" ht="15">
      <c r="A228" s="113"/>
      <c r="B228" s="48" t="s">
        <v>182</v>
      </c>
      <c r="C228" s="47">
        <v>4</v>
      </c>
      <c r="D228" s="47" t="b">
        <f>IF($F$214&gt;=70,IF($F$214&lt;=89,"4",0))</f>
        <v>0</v>
      </c>
      <c r="E228" s="11"/>
      <c r="F228" s="104"/>
      <c r="G228" s="18"/>
    </row>
    <row r="229" spans="1:7" ht="15">
      <c r="A229" s="113"/>
      <c r="B229" s="48" t="s">
        <v>183</v>
      </c>
      <c r="C229" s="47">
        <v>5</v>
      </c>
      <c r="D229" s="47" t="b">
        <f>IF($F$214&gt;=90,IF($F$214&lt;=100,"5",0))</f>
        <v>0</v>
      </c>
      <c r="E229" s="11"/>
      <c r="F229" s="104"/>
      <c r="G229" s="18"/>
    </row>
    <row r="230" spans="1:7" ht="15">
      <c r="A230" s="113"/>
      <c r="B230" s="48" t="s">
        <v>184</v>
      </c>
      <c r="C230" s="47">
        <v>6</v>
      </c>
      <c r="D230" s="47" t="b">
        <f>IF($F$214&gt;=101,IF($F$214&lt;=110,"6",0))</f>
        <v>0</v>
      </c>
      <c r="E230" s="11"/>
      <c r="F230" s="104"/>
      <c r="G230" s="18"/>
    </row>
    <row r="231" spans="1:7" ht="15">
      <c r="A231" s="113"/>
      <c r="B231" s="48" t="s">
        <v>185</v>
      </c>
      <c r="C231" s="47">
        <v>7</v>
      </c>
      <c r="D231" s="47" t="b">
        <f>IF($F$214&gt;=111,IF($F$214&lt;=120,"7",0))</f>
        <v>0</v>
      </c>
      <c r="E231" s="11"/>
      <c r="F231" s="104"/>
      <c r="G231" s="18"/>
    </row>
    <row r="232" spans="1:15" ht="15">
      <c r="A232" s="113"/>
      <c r="B232" s="48" t="s">
        <v>186</v>
      </c>
      <c r="C232" s="47">
        <v>8</v>
      </c>
      <c r="D232" s="47" t="b">
        <f>IF($F$214&gt;=121,IF($F$214&lt;=130,"8",0))</f>
        <v>0</v>
      </c>
      <c r="E232" s="11"/>
      <c r="F232" s="104"/>
      <c r="G232" s="18"/>
      <c r="M232" s="12"/>
      <c r="N232" s="12"/>
      <c r="O232" s="12"/>
    </row>
    <row r="233" spans="1:7" ht="15.75" thickBot="1">
      <c r="A233" s="113"/>
      <c r="B233" s="58" t="s">
        <v>187</v>
      </c>
      <c r="C233" s="50">
        <v>9</v>
      </c>
      <c r="D233" s="50">
        <f>IF($F$214&gt;=131,"9",0)</f>
        <v>0</v>
      </c>
      <c r="E233" s="11"/>
      <c r="F233" s="104"/>
      <c r="G233" s="18"/>
    </row>
    <row r="234" spans="1:7" ht="30" customHeight="1">
      <c r="A234" s="293" t="s">
        <v>4</v>
      </c>
      <c r="B234" s="294"/>
      <c r="C234" s="294"/>
      <c r="D234" s="59">
        <f>D225+D226+D227+D228+D229+D230+D231+D232+D233</f>
        <v>1</v>
      </c>
      <c r="E234" s="11"/>
      <c r="F234" s="104"/>
      <c r="G234" s="18"/>
    </row>
    <row r="235" spans="1:7" ht="15">
      <c r="A235" s="113"/>
      <c r="B235" s="11"/>
      <c r="C235" s="11"/>
      <c r="D235" s="11"/>
      <c r="E235" s="11"/>
      <c r="F235" s="104"/>
      <c r="G235" s="18"/>
    </row>
    <row r="236" spans="1:7" ht="15.75">
      <c r="A236" s="109" t="s">
        <v>71</v>
      </c>
      <c r="B236" s="11"/>
      <c r="C236" s="60" t="s">
        <v>53</v>
      </c>
      <c r="D236" s="11"/>
      <c r="E236" s="11"/>
      <c r="F236" s="104"/>
      <c r="G236" s="18"/>
    </row>
    <row r="237" spans="1:7" ht="16.5" thickBot="1">
      <c r="A237" s="113"/>
      <c r="B237" s="13"/>
      <c r="C237" s="52">
        <v>2</v>
      </c>
      <c r="D237" s="11"/>
      <c r="E237" s="11"/>
      <c r="F237" s="104"/>
      <c r="G237" s="18"/>
    </row>
    <row r="238" spans="1:7" ht="16.5" thickBot="1">
      <c r="A238" s="113"/>
      <c r="B238" s="3"/>
      <c r="C238" s="53">
        <f>ROUND((D199+D234)/2,2)</f>
        <v>0.5</v>
      </c>
      <c r="D238" s="11"/>
      <c r="E238" s="11"/>
      <c r="F238" s="133"/>
      <c r="G238" s="18"/>
    </row>
    <row r="239" spans="1:15" ht="15.75" thickBot="1">
      <c r="A239" s="118"/>
      <c r="B239" s="143"/>
      <c r="C239" s="143"/>
      <c r="D239" s="143"/>
      <c r="E239" s="143"/>
      <c r="F239" s="181"/>
      <c r="G239" s="18"/>
      <c r="M239" s="41"/>
      <c r="N239" s="41"/>
      <c r="O239" s="41"/>
    </row>
    <row r="240" spans="1:6" ht="15.75">
      <c r="A240" s="322" t="s">
        <v>217</v>
      </c>
      <c r="B240" s="323"/>
      <c r="C240" s="323"/>
      <c r="D240" s="323"/>
      <c r="E240" s="323"/>
      <c r="F240" s="324"/>
    </row>
    <row r="241" spans="1:7" ht="99.75" customHeight="1">
      <c r="A241" s="293" t="s">
        <v>54</v>
      </c>
      <c r="B241" s="304"/>
      <c r="C241" s="304"/>
      <c r="D241" s="304"/>
      <c r="E241" s="304"/>
      <c r="F241" s="305"/>
      <c r="G241" s="18"/>
    </row>
    <row r="242" spans="1:7" ht="15">
      <c r="A242" s="113"/>
      <c r="B242" s="13"/>
      <c r="C242" s="101"/>
      <c r="D242" s="101"/>
      <c r="E242" s="101"/>
      <c r="F242" s="140"/>
      <c r="G242" s="18"/>
    </row>
    <row r="243" spans="1:7" ht="69.75" customHeight="1">
      <c r="A243" s="293" t="s">
        <v>112</v>
      </c>
      <c r="B243" s="304"/>
      <c r="C243" s="304"/>
      <c r="D243" s="304"/>
      <c r="E243" s="304"/>
      <c r="F243" s="305"/>
      <c r="G243" s="18"/>
    </row>
    <row r="244" spans="1:10" ht="15">
      <c r="A244" s="113"/>
      <c r="B244" s="13"/>
      <c r="C244" s="13"/>
      <c r="D244" s="13"/>
      <c r="E244" s="13"/>
      <c r="F244" s="121"/>
      <c r="G244" s="18"/>
      <c r="H244" s="41"/>
      <c r="I244" s="41"/>
      <c r="J244" s="41"/>
    </row>
    <row r="245" spans="1:7" ht="16.5" thickBot="1">
      <c r="A245" s="114" t="s">
        <v>128</v>
      </c>
      <c r="B245" s="13"/>
      <c r="C245" s="11"/>
      <c r="D245" s="11"/>
      <c r="E245" s="11"/>
      <c r="F245" s="104"/>
      <c r="G245" s="18"/>
    </row>
    <row r="246" spans="1:10" s="41" customFormat="1" ht="45.75" thickBot="1">
      <c r="A246" s="155"/>
      <c r="B246" s="9" t="s">
        <v>44</v>
      </c>
      <c r="C246" s="318" t="s">
        <v>19</v>
      </c>
      <c r="D246" s="319"/>
      <c r="E246" s="52"/>
      <c r="F246" s="124"/>
      <c r="G246" s="148"/>
      <c r="H246" s="18"/>
      <c r="I246" s="18"/>
      <c r="J246" s="18"/>
    </row>
    <row r="247" spans="1:6" ht="15.75">
      <c r="A247" s="113"/>
      <c r="B247" s="249"/>
      <c r="C247" s="308"/>
      <c r="D247" s="309"/>
      <c r="E247" s="59"/>
      <c r="F247" s="104"/>
    </row>
    <row r="248" spans="1:6" ht="15.75">
      <c r="A248" s="113"/>
      <c r="B248" s="249"/>
      <c r="C248" s="306"/>
      <c r="D248" s="307"/>
      <c r="E248" s="59"/>
      <c r="F248" s="104"/>
    </row>
    <row r="249" spans="1:6" ht="15.75">
      <c r="A249" s="113"/>
      <c r="B249" s="249"/>
      <c r="C249" s="306"/>
      <c r="D249" s="307"/>
      <c r="E249" s="59"/>
      <c r="F249" s="104"/>
    </row>
    <row r="250" spans="1:6" ht="15.75">
      <c r="A250" s="113"/>
      <c r="B250" s="249"/>
      <c r="C250" s="306"/>
      <c r="D250" s="307"/>
      <c r="E250" s="59"/>
      <c r="F250" s="104"/>
    </row>
    <row r="251" spans="1:6" ht="15.75">
      <c r="A251" s="113"/>
      <c r="B251" s="249"/>
      <c r="C251" s="306"/>
      <c r="D251" s="307"/>
      <c r="E251" s="59"/>
      <c r="F251" s="104"/>
    </row>
    <row r="252" spans="1:6" ht="15.75">
      <c r="A252" s="113"/>
      <c r="B252" s="249" t="s">
        <v>15</v>
      </c>
      <c r="C252" s="306"/>
      <c r="D252" s="307"/>
      <c r="E252" s="59"/>
      <c r="F252" s="104"/>
    </row>
    <row r="253" spans="1:6" ht="15.75">
      <c r="A253" s="113"/>
      <c r="B253" s="249" t="s">
        <v>15</v>
      </c>
      <c r="C253" s="306"/>
      <c r="D253" s="307"/>
      <c r="E253" s="59"/>
      <c r="F253" s="104"/>
    </row>
    <row r="254" spans="1:6" ht="15.75">
      <c r="A254" s="113"/>
      <c r="B254" s="249"/>
      <c r="C254" s="306"/>
      <c r="D254" s="307"/>
      <c r="E254" s="59"/>
      <c r="F254" s="104"/>
    </row>
    <row r="255" spans="1:6" ht="15.75">
      <c r="A255" s="113"/>
      <c r="B255" s="207"/>
      <c r="C255" s="306"/>
      <c r="D255" s="307"/>
      <c r="E255" s="59"/>
      <c r="F255" s="104"/>
    </row>
    <row r="256" spans="1:6" ht="16.5" thickBot="1">
      <c r="A256" s="113"/>
      <c r="B256" s="211"/>
      <c r="C256" s="325"/>
      <c r="D256" s="326"/>
      <c r="E256" s="59"/>
      <c r="F256" s="104"/>
    </row>
    <row r="257" spans="1:10" ht="15.75">
      <c r="A257" s="113"/>
      <c r="B257" s="62">
        <f>COUNT(B247:B256)</f>
        <v>0</v>
      </c>
      <c r="C257" s="11"/>
      <c r="D257" s="11"/>
      <c r="E257" s="59"/>
      <c r="F257" s="104"/>
      <c r="H257" s="41"/>
      <c r="I257" s="41"/>
      <c r="J257" s="41"/>
    </row>
    <row r="258" spans="1:6" ht="16.5" thickBot="1">
      <c r="A258" s="113"/>
      <c r="B258" s="11"/>
      <c r="C258" s="11"/>
      <c r="D258" s="11"/>
      <c r="E258" s="59"/>
      <c r="F258" s="104"/>
    </row>
    <row r="259" spans="1:10" s="41" customFormat="1" ht="15.75" thickBot="1">
      <c r="A259" s="155"/>
      <c r="B259" s="27"/>
      <c r="C259" s="27" t="s">
        <v>49</v>
      </c>
      <c r="D259" s="9" t="s">
        <v>120</v>
      </c>
      <c r="E259" s="146"/>
      <c r="F259" s="124"/>
      <c r="G259" s="148"/>
      <c r="H259" s="18"/>
      <c r="I259" s="18"/>
      <c r="J259" s="18"/>
    </row>
    <row r="260" spans="1:6" ht="30">
      <c r="A260" s="113"/>
      <c r="B260" s="46" t="s">
        <v>130</v>
      </c>
      <c r="C260" s="46">
        <v>0</v>
      </c>
      <c r="D260" s="144" t="str">
        <f>IF($B$257=0,"0",0)</f>
        <v>0</v>
      </c>
      <c r="E260" s="25"/>
      <c r="F260" s="121"/>
    </row>
    <row r="261" spans="1:6" ht="30">
      <c r="A261" s="113"/>
      <c r="B261" s="61" t="s">
        <v>131</v>
      </c>
      <c r="C261" s="48">
        <v>5</v>
      </c>
      <c r="D261" s="47">
        <f>IF($B$257=1,"5",0)</f>
        <v>0</v>
      </c>
      <c r="E261" s="25"/>
      <c r="F261" s="121"/>
    </row>
    <row r="262" spans="1:6" ht="30">
      <c r="A262" s="113"/>
      <c r="B262" s="61" t="s">
        <v>132</v>
      </c>
      <c r="C262" s="48">
        <v>7</v>
      </c>
      <c r="D262" s="47">
        <f>IF($B$257=2,"7",0)</f>
        <v>0</v>
      </c>
      <c r="E262" s="25"/>
      <c r="F262" s="121"/>
    </row>
    <row r="263" spans="1:6" ht="30">
      <c r="A263" s="113"/>
      <c r="B263" s="61" t="s">
        <v>134</v>
      </c>
      <c r="C263" s="92">
        <v>8</v>
      </c>
      <c r="D263" s="47">
        <f>IF($B$257=3,"8",0)</f>
        <v>0</v>
      </c>
      <c r="E263" s="25"/>
      <c r="F263" s="121"/>
    </row>
    <row r="264" spans="1:6" ht="30.75" thickBot="1">
      <c r="A264" s="113"/>
      <c r="B264" s="49" t="s">
        <v>16</v>
      </c>
      <c r="C264" s="58">
        <v>9</v>
      </c>
      <c r="D264" s="50">
        <f>IF($B$257&gt;=4,"9",0)</f>
        <v>0</v>
      </c>
      <c r="E264" s="25"/>
      <c r="F264" s="121"/>
    </row>
    <row r="265" spans="1:6" ht="15.75">
      <c r="A265" s="113"/>
      <c r="B265" s="11"/>
      <c r="C265" s="11"/>
      <c r="D265" s="29">
        <f>D260+D261+D262+D263+D264</f>
        <v>0</v>
      </c>
      <c r="E265" s="62"/>
      <c r="F265" s="121"/>
    </row>
    <row r="266" spans="1:6" ht="15.75">
      <c r="A266" s="113"/>
      <c r="B266" s="13"/>
      <c r="C266" s="11"/>
      <c r="D266" s="11"/>
      <c r="E266" s="59"/>
      <c r="F266" s="121"/>
    </row>
    <row r="267" spans="1:6" ht="15.75">
      <c r="A267" s="113" t="s">
        <v>38</v>
      </c>
      <c r="B267" s="13"/>
      <c r="C267" s="59"/>
      <c r="D267" s="30">
        <f>D265</f>
        <v>0</v>
      </c>
      <c r="E267" s="59"/>
      <c r="F267" s="121"/>
    </row>
    <row r="268" spans="1:6" ht="15.75">
      <c r="A268" s="113"/>
      <c r="B268" s="13"/>
      <c r="C268" s="11"/>
      <c r="D268" s="11"/>
      <c r="E268" s="59"/>
      <c r="F268" s="121"/>
    </row>
    <row r="269" spans="1:6" ht="91.5" customHeight="1">
      <c r="A269" s="293" t="s">
        <v>201</v>
      </c>
      <c r="B269" s="304"/>
      <c r="C269" s="304"/>
      <c r="D269" s="304"/>
      <c r="E269" s="304"/>
      <c r="F269" s="305"/>
    </row>
    <row r="270" spans="1:10" ht="15.75">
      <c r="A270" s="113"/>
      <c r="B270" s="310"/>
      <c r="C270" s="310"/>
      <c r="D270" s="11"/>
      <c r="E270" s="11"/>
      <c r="F270" s="104"/>
      <c r="H270" s="41"/>
      <c r="I270" s="41"/>
      <c r="J270" s="41"/>
    </row>
    <row r="271" spans="1:6" ht="16.5" thickBot="1">
      <c r="A271" s="114" t="s">
        <v>129</v>
      </c>
      <c r="B271" s="11"/>
      <c r="C271" s="11"/>
      <c r="D271" s="11"/>
      <c r="E271" s="11"/>
      <c r="F271" s="104"/>
    </row>
    <row r="272" spans="1:10" s="41" customFormat="1" ht="45.75" thickBot="1">
      <c r="A272" s="155"/>
      <c r="B272" s="9" t="s">
        <v>44</v>
      </c>
      <c r="C272" s="318" t="s">
        <v>19</v>
      </c>
      <c r="D272" s="319"/>
      <c r="E272" s="52"/>
      <c r="F272" s="124"/>
      <c r="G272" s="148"/>
      <c r="H272" s="18"/>
      <c r="I272" s="18"/>
      <c r="J272" s="18"/>
    </row>
    <row r="273" spans="1:6" ht="15.75">
      <c r="A273" s="113"/>
      <c r="B273" s="251"/>
      <c r="C273" s="308"/>
      <c r="D273" s="309"/>
      <c r="E273" s="59"/>
      <c r="F273" s="121"/>
    </row>
    <row r="274" spans="1:6" ht="15.75">
      <c r="A274" s="113"/>
      <c r="B274" s="251"/>
      <c r="C274" s="306"/>
      <c r="D274" s="307"/>
      <c r="E274" s="59"/>
      <c r="F274" s="121"/>
    </row>
    <row r="275" spans="1:6" ht="15.75">
      <c r="A275" s="113"/>
      <c r="B275" s="251"/>
      <c r="C275" s="306"/>
      <c r="D275" s="307"/>
      <c r="E275" s="59"/>
      <c r="F275" s="121"/>
    </row>
    <row r="276" spans="1:6" ht="15.75">
      <c r="A276" s="113"/>
      <c r="B276" s="251"/>
      <c r="C276" s="306"/>
      <c r="D276" s="307"/>
      <c r="E276" s="59"/>
      <c r="F276" s="121"/>
    </row>
    <row r="277" spans="1:6" ht="15.75">
      <c r="A277" s="113"/>
      <c r="B277" s="251"/>
      <c r="C277" s="306"/>
      <c r="D277" s="307"/>
      <c r="E277" s="59"/>
      <c r="F277" s="121"/>
    </row>
    <row r="278" spans="1:6" ht="15.75">
      <c r="A278" s="113"/>
      <c r="B278" s="252" t="s">
        <v>15</v>
      </c>
      <c r="C278" s="306"/>
      <c r="D278" s="307"/>
      <c r="E278" s="59"/>
      <c r="F278" s="121"/>
    </row>
    <row r="279" spans="1:6" ht="15.75">
      <c r="A279" s="113"/>
      <c r="B279" s="253" t="s">
        <v>15</v>
      </c>
      <c r="C279" s="306"/>
      <c r="D279" s="307"/>
      <c r="E279" s="59"/>
      <c r="F279" s="121"/>
    </row>
    <row r="280" spans="1:6" ht="15.75">
      <c r="A280" s="113"/>
      <c r="B280" s="253"/>
      <c r="C280" s="306"/>
      <c r="D280" s="307"/>
      <c r="E280" s="59"/>
      <c r="F280" s="121"/>
    </row>
    <row r="281" spans="1:6" ht="15.75">
      <c r="A281" s="113"/>
      <c r="B281" s="253"/>
      <c r="C281" s="306"/>
      <c r="D281" s="307"/>
      <c r="E281" s="59"/>
      <c r="F281" s="121"/>
    </row>
    <row r="282" spans="1:6" ht="16.5" thickBot="1">
      <c r="A282" s="113"/>
      <c r="B282" s="254"/>
      <c r="C282" s="325"/>
      <c r="D282" s="326"/>
      <c r="E282" s="59"/>
      <c r="F282" s="121"/>
    </row>
    <row r="283" spans="1:10" ht="16.5" thickBot="1">
      <c r="A283" s="118"/>
      <c r="B283" s="119">
        <f>COUNT(B273:B282)</f>
        <v>0</v>
      </c>
      <c r="C283" s="143"/>
      <c r="D283" s="143"/>
      <c r="E283" s="103"/>
      <c r="F283" s="134"/>
      <c r="H283" s="41"/>
      <c r="I283" s="41"/>
      <c r="J283" s="41"/>
    </row>
    <row r="284" spans="1:6" ht="16.5" thickBot="1">
      <c r="A284" s="147"/>
      <c r="B284" s="145"/>
      <c r="C284" s="145"/>
      <c r="D284" s="145"/>
      <c r="E284" s="178"/>
      <c r="F284" s="179"/>
    </row>
    <row r="285" spans="1:10" s="41" customFormat="1" ht="15.75" thickBot="1">
      <c r="A285" s="155"/>
      <c r="B285" s="27"/>
      <c r="C285" s="27" t="s">
        <v>17</v>
      </c>
      <c r="D285" s="9" t="s">
        <v>120</v>
      </c>
      <c r="E285" s="146"/>
      <c r="F285" s="124"/>
      <c r="G285" s="148"/>
      <c r="H285" s="18"/>
      <c r="I285" s="18"/>
      <c r="J285" s="18"/>
    </row>
    <row r="286" spans="1:6" ht="30">
      <c r="A286" s="113"/>
      <c r="B286" s="46" t="s">
        <v>130</v>
      </c>
      <c r="C286" s="46">
        <v>0</v>
      </c>
      <c r="D286" s="144" t="str">
        <f>IF($B$283=0,"0",0)</f>
        <v>0</v>
      </c>
      <c r="E286" s="25"/>
      <c r="F286" s="104"/>
    </row>
    <row r="287" spans="1:6" ht="30">
      <c r="A287" s="113"/>
      <c r="B287" s="61" t="s">
        <v>131</v>
      </c>
      <c r="C287" s="48">
        <v>5</v>
      </c>
      <c r="D287" s="47">
        <f>IF($B$283=1,"5",0)</f>
        <v>0</v>
      </c>
      <c r="E287" s="25"/>
      <c r="F287" s="104"/>
    </row>
    <row r="288" spans="1:6" ht="30">
      <c r="A288" s="113"/>
      <c r="B288" s="61" t="s">
        <v>132</v>
      </c>
      <c r="C288" s="48">
        <v>7</v>
      </c>
      <c r="D288" s="47">
        <f>IF($B$283=2,"7",0)</f>
        <v>0</v>
      </c>
      <c r="E288" s="25"/>
      <c r="F288" s="104"/>
    </row>
    <row r="289" spans="1:6" ht="30">
      <c r="A289" s="113"/>
      <c r="B289" s="61" t="s">
        <v>134</v>
      </c>
      <c r="C289" s="92">
        <v>8</v>
      </c>
      <c r="D289" s="47">
        <f>IF($B$283=3,"8",0)</f>
        <v>0</v>
      </c>
      <c r="E289" s="25"/>
      <c r="F289" s="104"/>
    </row>
    <row r="290" spans="1:6" ht="30.75" thickBot="1">
      <c r="A290" s="113"/>
      <c r="B290" s="49" t="s">
        <v>16</v>
      </c>
      <c r="C290" s="58">
        <v>9</v>
      </c>
      <c r="D290" s="50">
        <f>IF($B$283&gt;=4,"9",0)</f>
        <v>0</v>
      </c>
      <c r="E290" s="25"/>
      <c r="F290" s="104"/>
    </row>
    <row r="291" spans="1:6" ht="15.75">
      <c r="A291" s="113"/>
      <c r="B291" s="13"/>
      <c r="C291" s="11"/>
      <c r="D291" s="62">
        <f>D286+D287+D288+D289+D290</f>
        <v>0</v>
      </c>
      <c r="E291" s="11"/>
      <c r="F291" s="104"/>
    </row>
    <row r="292" spans="1:6" ht="15.75">
      <c r="A292" s="113"/>
      <c r="B292" s="11"/>
      <c r="C292" s="11"/>
      <c r="D292" s="11"/>
      <c r="E292" s="59"/>
      <c r="F292" s="104"/>
    </row>
    <row r="293" spans="1:6" ht="15.75">
      <c r="A293" s="113" t="s">
        <v>39</v>
      </c>
      <c r="B293" s="11"/>
      <c r="C293" s="11"/>
      <c r="D293" s="29">
        <f>D291</f>
        <v>0</v>
      </c>
      <c r="E293" s="59"/>
      <c r="F293" s="104"/>
    </row>
    <row r="294" spans="1:6" ht="15.75">
      <c r="A294" s="113"/>
      <c r="B294" s="11"/>
      <c r="C294" s="11"/>
      <c r="D294" s="11"/>
      <c r="E294" s="59"/>
      <c r="F294" s="104"/>
    </row>
    <row r="295" spans="1:6" ht="15.75">
      <c r="A295" s="320" t="s">
        <v>72</v>
      </c>
      <c r="B295" s="321"/>
      <c r="C295" s="60" t="s">
        <v>103</v>
      </c>
      <c r="D295" s="11"/>
      <c r="E295" s="59"/>
      <c r="F295" s="104"/>
    </row>
    <row r="296" spans="1:6" ht="15.75">
      <c r="A296" s="113"/>
      <c r="B296" s="11"/>
      <c r="C296" s="52">
        <v>2</v>
      </c>
      <c r="D296" s="11"/>
      <c r="E296" s="59"/>
      <c r="F296" s="104"/>
    </row>
    <row r="297" spans="1:6" ht="16.5" thickBot="1">
      <c r="A297" s="113"/>
      <c r="B297" s="13"/>
      <c r="C297" s="11"/>
      <c r="D297" s="11"/>
      <c r="E297" s="59"/>
      <c r="F297" s="104"/>
    </row>
    <row r="298" spans="1:7" ht="16.5" thickBot="1">
      <c r="A298" s="113"/>
      <c r="B298" s="11"/>
      <c r="C298" s="53">
        <f>(D267+D293)/2</f>
        <v>0</v>
      </c>
      <c r="D298" s="11"/>
      <c r="E298" s="11"/>
      <c r="F298" s="104"/>
      <c r="G298" s="63"/>
    </row>
    <row r="299" spans="1:6" ht="15.75">
      <c r="A299" s="113"/>
      <c r="B299" s="339"/>
      <c r="C299" s="304"/>
      <c r="D299" s="11"/>
      <c r="E299" s="11"/>
      <c r="F299" s="104"/>
    </row>
    <row r="300" spans="1:6" ht="16.5" thickBot="1">
      <c r="A300" s="114" t="s">
        <v>55</v>
      </c>
      <c r="B300" s="11"/>
      <c r="C300" s="11"/>
      <c r="D300" s="11"/>
      <c r="E300" s="11"/>
      <c r="F300" s="104"/>
    </row>
    <row r="301" spans="1:6" ht="16.5" thickBot="1">
      <c r="A301" s="64" t="s">
        <v>73</v>
      </c>
      <c r="B301" s="65" t="s">
        <v>47</v>
      </c>
      <c r="C301" s="64" t="s">
        <v>120</v>
      </c>
      <c r="D301" s="66" t="s">
        <v>74</v>
      </c>
      <c r="E301" s="67" t="s">
        <v>69</v>
      </c>
      <c r="F301" s="104"/>
    </row>
    <row r="302" spans="1:6" ht="16.5" thickBot="1">
      <c r="A302" s="136" t="s">
        <v>108</v>
      </c>
      <c r="B302" s="157">
        <f>C42</f>
        <v>0</v>
      </c>
      <c r="C302" s="158">
        <f>C190</f>
        <v>0</v>
      </c>
      <c r="D302" s="159">
        <f>C302*10</f>
        <v>0</v>
      </c>
      <c r="E302" s="160">
        <f>B302*D302</f>
        <v>0</v>
      </c>
      <c r="F302" s="104"/>
    </row>
    <row r="303" spans="1:6" ht="16.5" thickBot="1">
      <c r="A303" s="136" t="s">
        <v>107</v>
      </c>
      <c r="B303" s="157">
        <f>C44</f>
        <v>0</v>
      </c>
      <c r="C303" s="158">
        <f>C238</f>
        <v>0.5</v>
      </c>
      <c r="D303" s="159">
        <f>C303*10</f>
        <v>5</v>
      </c>
      <c r="E303" s="160">
        <f>B303*D303</f>
        <v>0</v>
      </c>
      <c r="F303" s="104"/>
    </row>
    <row r="304" spans="1:6" ht="16.5" thickBot="1">
      <c r="A304" s="136" t="s">
        <v>109</v>
      </c>
      <c r="B304" s="157">
        <f>C46</f>
        <v>0</v>
      </c>
      <c r="C304" s="158">
        <f>C298</f>
        <v>0</v>
      </c>
      <c r="D304" s="159">
        <f>C304*10</f>
        <v>0</v>
      </c>
      <c r="E304" s="160">
        <f>B304*D304</f>
        <v>0</v>
      </c>
      <c r="F304" s="104"/>
    </row>
    <row r="305" spans="1:6" ht="16.5" thickBot="1">
      <c r="A305" s="137" t="s">
        <v>75</v>
      </c>
      <c r="B305" s="161"/>
      <c r="C305" s="161"/>
      <c r="D305" s="53"/>
      <c r="E305" s="53">
        <f>SUM(E302:E304)</f>
        <v>0</v>
      </c>
      <c r="F305" s="104"/>
    </row>
    <row r="306" spans="1:6" ht="29.25" customHeight="1">
      <c r="A306" s="293" t="s">
        <v>85</v>
      </c>
      <c r="B306" s="297"/>
      <c r="C306" s="297"/>
      <c r="D306" s="297"/>
      <c r="E306" s="297"/>
      <c r="F306" s="298"/>
    </row>
    <row r="307" spans="1:10" ht="15.75" thickBot="1">
      <c r="A307" s="113"/>
      <c r="B307" s="13"/>
      <c r="C307" s="11"/>
      <c r="D307" s="11"/>
      <c r="E307" s="11"/>
      <c r="F307" s="104"/>
      <c r="H307" s="12"/>
      <c r="I307" s="74"/>
      <c r="J307" s="74"/>
    </row>
    <row r="308" spans="1:10" ht="33" customHeight="1">
      <c r="A308" s="340" t="s">
        <v>159</v>
      </c>
      <c r="B308" s="335" t="s">
        <v>59</v>
      </c>
      <c r="C308" s="336"/>
      <c r="D308" s="68" t="s">
        <v>62</v>
      </c>
      <c r="E308" s="69" t="s">
        <v>89</v>
      </c>
      <c r="F308" s="70" t="str">
        <f>IF($E$305&gt;=0,IF($E$305&lt;=1800,"N-",0))</f>
        <v>N-</v>
      </c>
      <c r="H308" s="74"/>
      <c r="I308" s="12"/>
      <c r="J308" s="74"/>
    </row>
    <row r="309" spans="1:10" ht="33" customHeight="1">
      <c r="A309" s="341"/>
      <c r="B309" s="337" t="s">
        <v>60</v>
      </c>
      <c r="C309" s="338"/>
      <c r="D309" s="71" t="s">
        <v>51</v>
      </c>
      <c r="E309" s="72" t="s">
        <v>90</v>
      </c>
      <c r="F309" s="73" t="b">
        <f>IF($E$305&gt;=1801,IF($E$305&lt;=2700,"N",0))</f>
        <v>0</v>
      </c>
      <c r="H309" s="56"/>
      <c r="I309" s="74"/>
      <c r="J309" s="74"/>
    </row>
    <row r="310" spans="1:10" ht="33" customHeight="1" thickBot="1">
      <c r="A310" s="342"/>
      <c r="B310" s="333" t="s">
        <v>61</v>
      </c>
      <c r="C310" s="334"/>
      <c r="D310" s="75" t="s">
        <v>88</v>
      </c>
      <c r="E310" s="76" t="s">
        <v>91</v>
      </c>
      <c r="F310" s="77" t="b">
        <f>IF($E$305&gt;=2701,IF($E$305&lt;=3600,"N+",0))</f>
        <v>0</v>
      </c>
      <c r="H310" s="56"/>
      <c r="I310" s="12"/>
      <c r="J310" s="74"/>
    </row>
    <row r="311" spans="1:10" ht="33" customHeight="1">
      <c r="A311" s="340" t="s">
        <v>160</v>
      </c>
      <c r="B311" s="335" t="s">
        <v>63</v>
      </c>
      <c r="C311" s="336"/>
      <c r="D311" s="78" t="s">
        <v>92</v>
      </c>
      <c r="E311" s="69" t="s">
        <v>95</v>
      </c>
      <c r="F311" s="70" t="b">
        <f>IF($E$305&gt;=3601,IF($E$305&lt;=4500,"S-",0))</f>
        <v>0</v>
      </c>
      <c r="H311" s="12"/>
      <c r="I311" s="12"/>
      <c r="J311" s="74"/>
    </row>
    <row r="312" spans="1:10" ht="33" customHeight="1">
      <c r="A312" s="341"/>
      <c r="B312" s="337" t="s">
        <v>64</v>
      </c>
      <c r="C312" s="338"/>
      <c r="D312" s="71" t="s">
        <v>93</v>
      </c>
      <c r="E312" s="72" t="s">
        <v>96</v>
      </c>
      <c r="F312" s="73" t="b">
        <f>IF($E$305&gt;=4501,IF($E$305&lt;=5400,"S",0))</f>
        <v>0</v>
      </c>
      <c r="H312" s="12"/>
      <c r="I312" s="12"/>
      <c r="J312" s="74"/>
    </row>
    <row r="313" spans="1:10" ht="33" customHeight="1" thickBot="1">
      <c r="A313" s="342"/>
      <c r="B313" s="333" t="s">
        <v>10</v>
      </c>
      <c r="C313" s="334"/>
      <c r="D313" s="75" t="s">
        <v>94</v>
      </c>
      <c r="E313" s="76" t="s">
        <v>97</v>
      </c>
      <c r="F313" s="77" t="b">
        <f>IF($E$305&gt;=5401,IF($E$305&lt;=6300,"S+",0))</f>
        <v>0</v>
      </c>
      <c r="H313" s="74"/>
      <c r="I313" s="74"/>
      <c r="J313" s="74"/>
    </row>
    <row r="314" spans="1:10" ht="33" customHeight="1">
      <c r="A314" s="340" t="s">
        <v>161</v>
      </c>
      <c r="B314" s="335" t="s">
        <v>11</v>
      </c>
      <c r="C314" s="336"/>
      <c r="D314" s="69" t="s">
        <v>98</v>
      </c>
      <c r="E314" s="69" t="s">
        <v>100</v>
      </c>
      <c r="F314" s="70" t="b">
        <f>IF($E$305&gt;=6301,IF($E$305&lt;=7200,"M-",0))</f>
        <v>0</v>
      </c>
      <c r="H314" s="56"/>
      <c r="I314" s="12"/>
      <c r="J314" s="74"/>
    </row>
    <row r="315" spans="1:10" ht="33" customHeight="1">
      <c r="A315" s="341"/>
      <c r="B315" s="337" t="s">
        <v>12</v>
      </c>
      <c r="C315" s="338"/>
      <c r="D315" s="72" t="s">
        <v>99</v>
      </c>
      <c r="E315" s="72" t="s">
        <v>101</v>
      </c>
      <c r="F315" s="73" t="b">
        <f>IF($E$305&gt;=7201,IF($E$305&lt;=8100,"M",0))</f>
        <v>0</v>
      </c>
      <c r="H315" s="56"/>
      <c r="I315" s="56"/>
      <c r="J315" s="74"/>
    </row>
    <row r="316" spans="1:10" ht="33" customHeight="1" thickBot="1">
      <c r="A316" s="342"/>
      <c r="B316" s="333" t="s">
        <v>13</v>
      </c>
      <c r="C316" s="334"/>
      <c r="D316" s="75" t="s">
        <v>14</v>
      </c>
      <c r="E316" s="76" t="s">
        <v>102</v>
      </c>
      <c r="F316" s="77" t="b">
        <f>IF($E$305&gt;=8101,IF($E$305&lt;=20000,"M+",0))</f>
        <v>0</v>
      </c>
      <c r="H316" s="56"/>
      <c r="I316" s="56"/>
      <c r="J316" s="74"/>
    </row>
    <row r="317" spans="1:10" s="12" customFormat="1" ht="15.75" thickBot="1">
      <c r="A317" s="31"/>
      <c r="B317" s="11"/>
      <c r="C317" s="11"/>
      <c r="D317" s="11"/>
      <c r="E317" s="11"/>
      <c r="F317" s="104"/>
      <c r="G317" s="38"/>
      <c r="J317" s="74"/>
    </row>
    <row r="318" spans="1:10" ht="32.25" thickBot="1">
      <c r="A318" s="113"/>
      <c r="B318" s="13"/>
      <c r="C318" s="11"/>
      <c r="D318" s="11"/>
      <c r="E318" s="1"/>
      <c r="F318" s="2" t="s">
        <v>50</v>
      </c>
      <c r="H318" s="12"/>
      <c r="I318" s="74"/>
      <c r="J318" s="74"/>
    </row>
    <row r="319" spans="1:10" ht="15.75">
      <c r="A319" s="113"/>
      <c r="B319" s="13"/>
      <c r="C319" s="11"/>
      <c r="D319" s="11"/>
      <c r="E319" s="1"/>
      <c r="F319" s="141"/>
      <c r="H319" s="12"/>
      <c r="I319" s="74"/>
      <c r="J319" s="74"/>
    </row>
    <row r="320" spans="1:10" ht="63.75" customHeight="1">
      <c r="A320" s="327" t="s">
        <v>232</v>
      </c>
      <c r="B320" s="328"/>
      <c r="C320" s="328"/>
      <c r="D320" s="328"/>
      <c r="E320" s="328"/>
      <c r="F320" s="329"/>
      <c r="H320" s="12"/>
      <c r="I320" s="74"/>
      <c r="J320" s="74"/>
    </row>
    <row r="321" spans="1:10" ht="16.5" thickBot="1">
      <c r="A321" s="162"/>
      <c r="B321" s="163"/>
      <c r="C321" s="163"/>
      <c r="D321" s="163"/>
      <c r="E321" s="163"/>
      <c r="F321" s="164"/>
      <c r="H321" s="12"/>
      <c r="I321" s="74"/>
      <c r="J321" s="74"/>
    </row>
    <row r="322" spans="1:10" ht="71.25" customHeight="1" thickBot="1">
      <c r="A322" s="330"/>
      <c r="B322" s="331"/>
      <c r="C322" s="331"/>
      <c r="D322" s="331"/>
      <c r="E322" s="331"/>
      <c r="F322" s="332"/>
      <c r="H322" s="12"/>
      <c r="I322" s="74"/>
      <c r="J322" s="74"/>
    </row>
    <row r="323" spans="1:10" ht="15">
      <c r="A323" s="191"/>
      <c r="B323" s="192"/>
      <c r="C323" s="192"/>
      <c r="D323" s="192"/>
      <c r="E323" s="192"/>
      <c r="F323" s="193"/>
      <c r="H323" s="74"/>
      <c r="I323" s="12"/>
      <c r="J323" s="74"/>
    </row>
    <row r="324" spans="1:6" ht="30">
      <c r="A324" s="194" t="s">
        <v>203</v>
      </c>
      <c r="B324" s="195"/>
      <c r="C324" s="195"/>
      <c r="D324" s="196" t="s">
        <v>233</v>
      </c>
      <c r="E324" s="197"/>
      <c r="F324" s="198"/>
    </row>
    <row r="325" spans="1:6" ht="15.75" thickBot="1">
      <c r="A325" s="118"/>
      <c r="B325" s="142"/>
      <c r="C325" s="143"/>
      <c r="D325" s="143"/>
      <c r="E325" s="143"/>
      <c r="F325" s="132"/>
    </row>
  </sheetData>
  <sheetProtection password="C64A" sheet="1" objects="1" scenarios="1" selectLockedCells="1"/>
  <mergeCells count="71">
    <mergeCell ref="D33:E35"/>
    <mergeCell ref="A41:C41"/>
    <mergeCell ref="D41:F41"/>
    <mergeCell ref="A320:F320"/>
    <mergeCell ref="B270:C270"/>
    <mergeCell ref="C272:D272"/>
    <mergeCell ref="C277:D277"/>
    <mergeCell ref="C281:D281"/>
    <mergeCell ref="C278:D278"/>
    <mergeCell ref="C279:D279"/>
    <mergeCell ref="A322:F322"/>
    <mergeCell ref="A193:F193"/>
    <mergeCell ref="A117:F117"/>
    <mergeCell ref="C274:D274"/>
    <mergeCell ref="A243:F243"/>
    <mergeCell ref="C252:D252"/>
    <mergeCell ref="C253:D253"/>
    <mergeCell ref="C249:D249"/>
    <mergeCell ref="C250:D250"/>
    <mergeCell ref="A269:F269"/>
    <mergeCell ref="A39:F39"/>
    <mergeCell ref="A49:F49"/>
    <mergeCell ref="C280:D280"/>
    <mergeCell ref="A240:F240"/>
    <mergeCell ref="C276:D276"/>
    <mergeCell ref="C248:D248"/>
    <mergeCell ref="C255:D255"/>
    <mergeCell ref="C256:D256"/>
    <mergeCell ref="C273:D273"/>
    <mergeCell ref="C275:D275"/>
    <mergeCell ref="A1:F1"/>
    <mergeCell ref="A10:F10"/>
    <mergeCell ref="A15:F15"/>
    <mergeCell ref="A11:F11"/>
    <mergeCell ref="A2:F2"/>
    <mergeCell ref="A3:E3"/>
    <mergeCell ref="A84:D84"/>
    <mergeCell ref="A102:F102"/>
    <mergeCell ref="A162:F162"/>
    <mergeCell ref="A154:F154"/>
    <mergeCell ref="A100:F100"/>
    <mergeCell ref="B310:C310"/>
    <mergeCell ref="A199:C199"/>
    <mergeCell ref="A201:F201"/>
    <mergeCell ref="A119:F119"/>
    <mergeCell ref="A185:F185"/>
    <mergeCell ref="A186:F186"/>
    <mergeCell ref="A234:C234"/>
    <mergeCell ref="C247:D247"/>
    <mergeCell ref="C246:D246"/>
    <mergeCell ref="C251:D251"/>
    <mergeCell ref="B311:C311"/>
    <mergeCell ref="B203:F203"/>
    <mergeCell ref="B204:F204"/>
    <mergeCell ref="A206:F206"/>
    <mergeCell ref="A295:B295"/>
    <mergeCell ref="B299:C299"/>
    <mergeCell ref="A306:F306"/>
    <mergeCell ref="A241:F241"/>
    <mergeCell ref="C282:D282"/>
    <mergeCell ref="C254:D254"/>
    <mergeCell ref="B316:C316"/>
    <mergeCell ref="A308:A310"/>
    <mergeCell ref="A311:A313"/>
    <mergeCell ref="A314:A316"/>
    <mergeCell ref="B312:C312"/>
    <mergeCell ref="B313:C313"/>
    <mergeCell ref="B314:C314"/>
    <mergeCell ref="B315:C315"/>
    <mergeCell ref="B308:C308"/>
    <mergeCell ref="B309:C309"/>
  </mergeCells>
  <printOptions horizontalCentered="1"/>
  <pageMargins left="0.5511811023622047" right="0.5511811023622047" top="0.7874015748031497" bottom="0.5905511811023623" header="0.5118110236220472" footer="0.5118110236220472"/>
  <pageSetup orientation="portrait" paperSize="9" scale="72" r:id="rId1"/>
  <headerFooter alignWithMargins="0">
    <oddHeader>&amp;R&amp;P</oddHeader>
  </headerFooter>
  <rowBreaks count="6" manualBreakCount="6">
    <brk id="39" max="5" man="1"/>
    <brk id="98" max="5" man="1"/>
    <brk id="152" max="5" man="1"/>
    <brk id="191" max="5" man="1"/>
    <brk id="239" max="5" man="1"/>
    <brk id="283" max="5" man="1"/>
  </rowBreaks>
</worksheet>
</file>

<file path=xl/worksheets/sheet3.xml><?xml version="1.0" encoding="utf-8"?>
<worksheet xmlns="http://schemas.openxmlformats.org/spreadsheetml/2006/main" xmlns:r="http://schemas.openxmlformats.org/officeDocument/2006/relationships">
  <dimension ref="A1:O325"/>
  <sheetViews>
    <sheetView tabSelected="1" zoomScale="90" zoomScaleNormal="90" zoomScaleSheetLayoutView="90" workbookViewId="0" topLeftCell="A208">
      <selection activeCell="C42" sqref="C42"/>
    </sheetView>
  </sheetViews>
  <sheetFormatPr defaultColWidth="9.140625" defaultRowHeight="12.75"/>
  <cols>
    <col min="1" max="1" width="18.8515625" style="12" customWidth="1"/>
    <col min="2" max="2" width="18.8515625" style="165" customWidth="1"/>
    <col min="3" max="6" width="18.8515625" style="18" customWidth="1"/>
    <col min="7" max="7" width="13.421875" style="44" customWidth="1"/>
    <col min="8" max="8" width="1.8515625" style="18" bestFit="1" customWidth="1"/>
    <col min="9" max="9" width="2.421875" style="18" bestFit="1" customWidth="1"/>
    <col min="10" max="10" width="5.7109375" style="18" bestFit="1" customWidth="1"/>
    <col min="11" max="11" width="2.421875" style="18" bestFit="1" customWidth="1"/>
    <col min="12" max="12" width="5.7109375" style="18" bestFit="1" customWidth="1"/>
    <col min="13" max="16384" width="9.140625" style="18" customWidth="1"/>
  </cols>
  <sheetData>
    <row r="1" spans="1:7" ht="42.75" customHeight="1">
      <c r="A1" s="276" t="s">
        <v>80</v>
      </c>
      <c r="B1" s="277"/>
      <c r="C1" s="277"/>
      <c r="D1" s="277"/>
      <c r="E1" s="277"/>
      <c r="F1" s="278"/>
      <c r="G1" s="18"/>
    </row>
    <row r="2" spans="1:7" ht="18" customHeight="1">
      <c r="A2" s="313" t="s">
        <v>143</v>
      </c>
      <c r="B2" s="314"/>
      <c r="C2" s="314"/>
      <c r="D2" s="314"/>
      <c r="E2" s="314"/>
      <c r="F2" s="315"/>
      <c r="G2" s="18"/>
    </row>
    <row r="3" spans="1:6" ht="18" customHeight="1">
      <c r="A3" s="313" t="s">
        <v>212</v>
      </c>
      <c r="B3" s="316"/>
      <c r="C3" s="316"/>
      <c r="D3" s="316"/>
      <c r="E3" s="317"/>
      <c r="F3" s="260" t="s">
        <v>211</v>
      </c>
    </row>
    <row r="4" spans="1:6" ht="15.75">
      <c r="A4" s="113"/>
      <c r="B4" s="10"/>
      <c r="C4" s="11"/>
      <c r="D4" s="11"/>
      <c r="E4" s="11"/>
      <c r="F4" s="104"/>
    </row>
    <row r="5" spans="1:6" ht="30" customHeight="1">
      <c r="A5" s="113"/>
      <c r="B5" s="3" t="s">
        <v>40</v>
      </c>
      <c r="C5" s="199"/>
      <c r="D5" s="4" t="s">
        <v>45</v>
      </c>
      <c r="E5" s="5" t="s">
        <v>24</v>
      </c>
      <c r="F5" s="104"/>
    </row>
    <row r="6" spans="1:6" ht="15">
      <c r="A6" s="113"/>
      <c r="B6" s="25"/>
      <c r="C6" s="146"/>
      <c r="D6" s="11" t="s">
        <v>15</v>
      </c>
      <c r="E6" s="11"/>
      <c r="F6" s="104"/>
    </row>
    <row r="7" spans="1:6" ht="30" customHeight="1">
      <c r="A7" s="113"/>
      <c r="B7" s="3" t="s">
        <v>78</v>
      </c>
      <c r="C7" s="201"/>
      <c r="D7" s="11"/>
      <c r="E7" s="11"/>
      <c r="F7" s="104"/>
    </row>
    <row r="8" spans="1:6" ht="15.75">
      <c r="A8" s="113"/>
      <c r="B8" s="10"/>
      <c r="C8" s="11"/>
      <c r="D8" s="11"/>
      <c r="E8" s="11"/>
      <c r="F8" s="104"/>
    </row>
    <row r="9" spans="1:6" ht="15.75">
      <c r="A9" s="109" t="s">
        <v>104</v>
      </c>
      <c r="B9" s="13"/>
      <c r="C9" s="11"/>
      <c r="D9" s="11"/>
      <c r="E9" s="11"/>
      <c r="F9" s="104"/>
    </row>
    <row r="10" spans="1:6" ht="90" customHeight="1">
      <c r="A10" s="299" t="s">
        <v>219</v>
      </c>
      <c r="B10" s="297"/>
      <c r="C10" s="297"/>
      <c r="D10" s="297"/>
      <c r="E10" s="297"/>
      <c r="F10" s="298"/>
    </row>
    <row r="11" spans="1:6" ht="129.75" customHeight="1">
      <c r="A11" s="299" t="s">
        <v>230</v>
      </c>
      <c r="B11" s="300"/>
      <c r="C11" s="300"/>
      <c r="D11" s="300"/>
      <c r="E11" s="300"/>
      <c r="F11" s="280"/>
    </row>
    <row r="12" spans="1:6" ht="15">
      <c r="A12" s="111"/>
      <c r="B12" s="35"/>
      <c r="C12" s="35"/>
      <c r="D12" s="35"/>
      <c r="E12" s="35"/>
      <c r="F12" s="112"/>
    </row>
    <row r="13" spans="1:6" ht="15">
      <c r="A13" s="177" t="s">
        <v>56</v>
      </c>
      <c r="B13" s="11"/>
      <c r="C13" s="11"/>
      <c r="D13" s="11"/>
      <c r="E13" s="11"/>
      <c r="F13" s="104"/>
    </row>
    <row r="14" spans="1:6" ht="15">
      <c r="A14" s="113"/>
      <c r="B14" s="11"/>
      <c r="C14" s="11"/>
      <c r="D14" s="11"/>
      <c r="E14" s="11"/>
      <c r="F14" s="104"/>
    </row>
    <row r="15" spans="1:6" ht="15.75">
      <c r="A15" s="279" t="s">
        <v>76</v>
      </c>
      <c r="B15" s="297"/>
      <c r="C15" s="297"/>
      <c r="D15" s="297"/>
      <c r="E15" s="297"/>
      <c r="F15" s="298"/>
    </row>
    <row r="16" spans="1:6" ht="15.75" thickBot="1">
      <c r="A16" s="113"/>
      <c r="B16" s="13"/>
      <c r="C16" s="11"/>
      <c r="D16" s="11"/>
      <c r="E16" s="11"/>
      <c r="F16" s="104"/>
    </row>
    <row r="17" spans="1:7" s="15" customFormat="1" ht="44.25" customHeight="1" thickBot="1">
      <c r="A17" s="114"/>
      <c r="B17" s="89" t="s">
        <v>2</v>
      </c>
      <c r="C17" s="79" t="s">
        <v>1</v>
      </c>
      <c r="D17" s="79" t="s">
        <v>0</v>
      </c>
      <c r="E17" s="80" t="s">
        <v>105</v>
      </c>
      <c r="F17" s="115"/>
      <c r="G17" s="14"/>
    </row>
    <row r="18" spans="1:6" ht="15.75">
      <c r="A18" s="113"/>
      <c r="B18" s="182" t="s">
        <v>204</v>
      </c>
      <c r="C18" s="86" t="s">
        <v>108</v>
      </c>
      <c r="D18" s="183">
        <v>40</v>
      </c>
      <c r="E18" s="188" t="s">
        <v>200</v>
      </c>
      <c r="F18" s="104"/>
    </row>
    <row r="19" spans="1:6" ht="15.75">
      <c r="A19" s="113"/>
      <c r="B19" s="184"/>
      <c r="C19" s="87" t="s">
        <v>107</v>
      </c>
      <c r="D19" s="185">
        <v>30</v>
      </c>
      <c r="E19" s="189" t="s">
        <v>200</v>
      </c>
      <c r="F19" s="104"/>
    </row>
    <row r="20" spans="1:6" ht="16.5" thickBot="1">
      <c r="A20" s="113"/>
      <c r="B20" s="186"/>
      <c r="C20" s="88" t="s">
        <v>106</v>
      </c>
      <c r="D20" s="187">
        <v>30</v>
      </c>
      <c r="E20" s="190" t="s">
        <v>200</v>
      </c>
      <c r="F20" s="104"/>
    </row>
    <row r="21" spans="1:6" ht="15.75">
      <c r="A21" s="113"/>
      <c r="B21" s="81" t="s">
        <v>52</v>
      </c>
      <c r="C21" s="86" t="s">
        <v>108</v>
      </c>
      <c r="D21" s="16">
        <v>45</v>
      </c>
      <c r="E21" s="20">
        <v>30</v>
      </c>
      <c r="F21" s="104"/>
    </row>
    <row r="22" spans="1:6" ht="15">
      <c r="A22" s="113"/>
      <c r="B22" s="82"/>
      <c r="C22" s="87" t="s">
        <v>107</v>
      </c>
      <c r="D22" s="17">
        <v>45</v>
      </c>
      <c r="E22" s="21">
        <v>60</v>
      </c>
      <c r="F22" s="104"/>
    </row>
    <row r="23" spans="1:6" ht="15.75" thickBot="1">
      <c r="A23" s="113"/>
      <c r="B23" s="83"/>
      <c r="C23" s="88" t="s">
        <v>106</v>
      </c>
      <c r="D23" s="19">
        <v>10</v>
      </c>
      <c r="E23" s="22">
        <v>10</v>
      </c>
      <c r="F23" s="104"/>
    </row>
    <row r="24" spans="1:6" ht="31.5">
      <c r="A24" s="113"/>
      <c r="B24" s="84" t="s">
        <v>79</v>
      </c>
      <c r="C24" s="86" t="s">
        <v>108</v>
      </c>
      <c r="D24" s="16">
        <v>45</v>
      </c>
      <c r="E24" s="20">
        <v>30</v>
      </c>
      <c r="F24" s="104"/>
    </row>
    <row r="25" spans="1:6" ht="15">
      <c r="A25" s="113"/>
      <c r="B25" s="31"/>
      <c r="C25" s="87" t="s">
        <v>107</v>
      </c>
      <c r="D25" s="17">
        <v>45</v>
      </c>
      <c r="E25" s="21">
        <v>60</v>
      </c>
      <c r="F25" s="104"/>
    </row>
    <row r="26" spans="1:6" ht="15.75" thickBot="1">
      <c r="A26" s="113"/>
      <c r="B26" s="83"/>
      <c r="C26" s="88" t="s">
        <v>106</v>
      </c>
      <c r="D26" s="19">
        <v>10</v>
      </c>
      <c r="E26" s="22">
        <v>10</v>
      </c>
      <c r="F26" s="104"/>
    </row>
    <row r="27" spans="1:6" ht="31.5">
      <c r="A27" s="113"/>
      <c r="B27" s="84" t="s">
        <v>77</v>
      </c>
      <c r="C27" s="86" t="s">
        <v>108</v>
      </c>
      <c r="D27" s="16">
        <v>45</v>
      </c>
      <c r="E27" s="20">
        <v>30</v>
      </c>
      <c r="F27" s="104"/>
    </row>
    <row r="28" spans="1:6" ht="15">
      <c r="A28" s="113"/>
      <c r="B28" s="31"/>
      <c r="C28" s="87" t="s">
        <v>107</v>
      </c>
      <c r="D28" s="17">
        <v>45</v>
      </c>
      <c r="E28" s="21">
        <v>60</v>
      </c>
      <c r="F28" s="104"/>
    </row>
    <row r="29" spans="1:6" ht="15.75" thickBot="1">
      <c r="A29" s="113"/>
      <c r="B29" s="83"/>
      <c r="C29" s="88" t="s">
        <v>106</v>
      </c>
      <c r="D29" s="19">
        <v>10</v>
      </c>
      <c r="E29" s="22">
        <v>10</v>
      </c>
      <c r="F29" s="104"/>
    </row>
    <row r="30" spans="1:6" ht="15.75">
      <c r="A30" s="113"/>
      <c r="B30" s="85" t="s">
        <v>110</v>
      </c>
      <c r="C30" s="86" t="s">
        <v>108</v>
      </c>
      <c r="D30" s="16">
        <v>55</v>
      </c>
      <c r="E30" s="20">
        <v>22</v>
      </c>
      <c r="F30" s="104"/>
    </row>
    <row r="31" spans="1:6" ht="15">
      <c r="A31" s="113"/>
      <c r="B31" s="31"/>
      <c r="C31" s="87" t="s">
        <v>107</v>
      </c>
      <c r="D31" s="17">
        <v>37</v>
      </c>
      <c r="E31" s="21">
        <v>70</v>
      </c>
      <c r="F31" s="104"/>
    </row>
    <row r="32" spans="1:6" ht="15.75" thickBot="1">
      <c r="A32" s="113"/>
      <c r="B32" s="83"/>
      <c r="C32" s="88" t="s">
        <v>106</v>
      </c>
      <c r="D32" s="19">
        <v>8</v>
      </c>
      <c r="E32" s="22">
        <v>8</v>
      </c>
      <c r="F32" s="104"/>
    </row>
    <row r="33" spans="1:6" ht="15.75">
      <c r="A33" s="113"/>
      <c r="B33" s="85" t="s">
        <v>110</v>
      </c>
      <c r="C33" s="86" t="s">
        <v>108</v>
      </c>
      <c r="D33" s="287" t="s">
        <v>207</v>
      </c>
      <c r="E33" s="288"/>
      <c r="F33" s="104"/>
    </row>
    <row r="34" spans="1:6" ht="15">
      <c r="A34" s="113"/>
      <c r="B34" s="31"/>
      <c r="C34" s="87" t="s">
        <v>107</v>
      </c>
      <c r="D34" s="289"/>
      <c r="E34" s="290"/>
      <c r="F34" s="104"/>
    </row>
    <row r="35" spans="1:6" ht="15.75" thickBot="1">
      <c r="A35" s="113"/>
      <c r="B35" s="83"/>
      <c r="C35" s="88" t="s">
        <v>106</v>
      </c>
      <c r="D35" s="291"/>
      <c r="E35" s="292"/>
      <c r="F35" s="104"/>
    </row>
    <row r="36" spans="1:6" ht="15">
      <c r="A36" s="113"/>
      <c r="B36" s="13"/>
      <c r="C36" s="11"/>
      <c r="D36" s="11"/>
      <c r="E36" s="11"/>
      <c r="F36" s="104"/>
    </row>
    <row r="37" spans="1:6" ht="15.75">
      <c r="A37" s="109" t="s">
        <v>65</v>
      </c>
      <c r="B37" s="13"/>
      <c r="C37" s="11"/>
      <c r="D37" s="11"/>
      <c r="E37" s="11"/>
      <c r="F37" s="104"/>
    </row>
    <row r="38" spans="1:6" ht="15.75">
      <c r="A38" s="109"/>
      <c r="B38" s="13"/>
      <c r="C38" s="11"/>
      <c r="D38" s="11"/>
      <c r="E38" s="11"/>
      <c r="F38" s="104"/>
    </row>
    <row r="39" spans="1:6" ht="78" customHeight="1" thickBot="1">
      <c r="A39" s="281" t="s">
        <v>231</v>
      </c>
      <c r="B39" s="282"/>
      <c r="C39" s="282"/>
      <c r="D39" s="282"/>
      <c r="E39" s="282"/>
      <c r="F39" s="283"/>
    </row>
    <row r="40" spans="1:6" ht="15.75">
      <c r="A40" s="147"/>
      <c r="B40" s="257"/>
      <c r="C40" s="258"/>
      <c r="D40" s="258"/>
      <c r="E40" s="258"/>
      <c r="F40" s="259"/>
    </row>
    <row r="41" spans="1:6" ht="30.75" customHeight="1">
      <c r="A41" s="293" t="s">
        <v>213</v>
      </c>
      <c r="B41" s="294"/>
      <c r="C41" s="294"/>
      <c r="D41" s="294" t="s">
        <v>229</v>
      </c>
      <c r="E41" s="294"/>
      <c r="F41" s="295"/>
    </row>
    <row r="42" spans="1:6" ht="15.75">
      <c r="A42" s="113"/>
      <c r="B42" s="24" t="s">
        <v>115</v>
      </c>
      <c r="C42" s="202"/>
      <c r="D42" s="24" t="s">
        <v>115</v>
      </c>
      <c r="E42" s="202"/>
      <c r="F42" s="104"/>
    </row>
    <row r="43" spans="1:8" s="12" customFormat="1" ht="15">
      <c r="A43" s="113"/>
      <c r="B43" s="25"/>
      <c r="C43" s="8"/>
      <c r="D43" s="25"/>
      <c r="E43" s="8"/>
      <c r="F43" s="104"/>
      <c r="G43" s="38"/>
      <c r="H43" s="18"/>
    </row>
    <row r="44" spans="1:6" ht="15.75">
      <c r="A44" s="113"/>
      <c r="B44" s="24" t="s">
        <v>114</v>
      </c>
      <c r="C44" s="202"/>
      <c r="D44" s="24" t="s">
        <v>114</v>
      </c>
      <c r="E44" s="202"/>
      <c r="F44" s="104"/>
    </row>
    <row r="45" spans="1:8" s="12" customFormat="1" ht="15">
      <c r="A45" s="113"/>
      <c r="B45" s="25"/>
      <c r="C45" s="8"/>
      <c r="D45" s="25"/>
      <c r="E45" s="8"/>
      <c r="F45" s="104"/>
      <c r="G45" s="38"/>
      <c r="H45" s="18"/>
    </row>
    <row r="46" spans="1:6" ht="15.75">
      <c r="A46" s="113"/>
      <c r="B46" s="24" t="s">
        <v>41</v>
      </c>
      <c r="C46" s="202"/>
      <c r="D46" s="24" t="s">
        <v>41</v>
      </c>
      <c r="E46" s="202"/>
      <c r="F46" s="104"/>
    </row>
    <row r="47" spans="1:6" ht="15">
      <c r="A47" s="113"/>
      <c r="B47" s="13"/>
      <c r="C47" s="11"/>
      <c r="D47" s="11"/>
      <c r="E47" s="11"/>
      <c r="F47" s="104"/>
    </row>
    <row r="48" spans="1:6" ht="15.75">
      <c r="A48" s="114" t="s">
        <v>42</v>
      </c>
      <c r="B48" s="11"/>
      <c r="C48" s="11"/>
      <c r="D48" s="11"/>
      <c r="E48" s="11"/>
      <c r="F48" s="104"/>
    </row>
    <row r="49" spans="1:6" ht="75" customHeight="1">
      <c r="A49" s="284" t="s">
        <v>222</v>
      </c>
      <c r="B49" s="285"/>
      <c r="C49" s="285"/>
      <c r="D49" s="285"/>
      <c r="E49" s="285"/>
      <c r="F49" s="286"/>
    </row>
    <row r="50" spans="1:6" ht="16.5" thickBot="1">
      <c r="A50" s="113"/>
      <c r="B50" s="23"/>
      <c r="C50" s="11"/>
      <c r="D50" s="11"/>
      <c r="E50" s="11"/>
      <c r="F50" s="104"/>
    </row>
    <row r="51" spans="1:7" ht="45.75" thickBot="1">
      <c r="A51" s="27" t="s">
        <v>66</v>
      </c>
      <c r="B51" s="28" t="s">
        <v>116</v>
      </c>
      <c r="C51" s="28" t="s">
        <v>162</v>
      </c>
      <c r="D51" s="28" t="s">
        <v>117</v>
      </c>
      <c r="E51" s="28" t="s">
        <v>118</v>
      </c>
      <c r="F51" s="9" t="s">
        <v>121</v>
      </c>
      <c r="G51" s="18"/>
    </row>
    <row r="52" spans="1:7" ht="15">
      <c r="A52" s="203"/>
      <c r="B52" s="204"/>
      <c r="C52" s="205"/>
      <c r="D52" s="204"/>
      <c r="E52" s="204"/>
      <c r="F52" s="206">
        <v>0</v>
      </c>
      <c r="G52" s="18"/>
    </row>
    <row r="53" spans="1:7" ht="15">
      <c r="A53" s="207"/>
      <c r="B53" s="208"/>
      <c r="C53" s="209"/>
      <c r="D53" s="208"/>
      <c r="E53" s="208"/>
      <c r="F53" s="210">
        <v>0</v>
      </c>
      <c r="G53" s="18"/>
    </row>
    <row r="54" spans="1:7" ht="15">
      <c r="A54" s="207"/>
      <c r="B54" s="208"/>
      <c r="C54" s="209"/>
      <c r="D54" s="208"/>
      <c r="E54" s="208"/>
      <c r="F54" s="210">
        <v>0</v>
      </c>
      <c r="G54" s="18"/>
    </row>
    <row r="55" spans="1:7" ht="15">
      <c r="A55" s="207"/>
      <c r="B55" s="208"/>
      <c r="C55" s="209"/>
      <c r="D55" s="208"/>
      <c r="E55" s="208"/>
      <c r="F55" s="210">
        <v>0</v>
      </c>
      <c r="G55" s="18"/>
    </row>
    <row r="56" spans="1:7" ht="15">
      <c r="A56" s="207"/>
      <c r="B56" s="208"/>
      <c r="C56" s="209"/>
      <c r="D56" s="208"/>
      <c r="E56" s="208"/>
      <c r="F56" s="210">
        <v>0</v>
      </c>
      <c r="G56" s="18"/>
    </row>
    <row r="57" spans="1:7" ht="15">
      <c r="A57" s="207"/>
      <c r="B57" s="208"/>
      <c r="C57" s="209"/>
      <c r="D57" s="208"/>
      <c r="E57" s="208"/>
      <c r="F57" s="210">
        <v>0</v>
      </c>
      <c r="G57" s="18"/>
    </row>
    <row r="58" spans="1:7" ht="15">
      <c r="A58" s="207"/>
      <c r="B58" s="208"/>
      <c r="C58" s="209"/>
      <c r="D58" s="208"/>
      <c r="E58" s="208"/>
      <c r="F58" s="210">
        <v>0</v>
      </c>
      <c r="G58" s="18"/>
    </row>
    <row r="59" spans="1:7" ht="15">
      <c r="A59" s="207"/>
      <c r="B59" s="208"/>
      <c r="C59" s="209"/>
      <c r="D59" s="208"/>
      <c r="E59" s="208"/>
      <c r="F59" s="210">
        <v>0</v>
      </c>
      <c r="G59" s="18"/>
    </row>
    <row r="60" spans="1:7" ht="15">
      <c r="A60" s="207"/>
      <c r="B60" s="208"/>
      <c r="C60" s="209"/>
      <c r="D60" s="208"/>
      <c r="E60" s="208"/>
      <c r="F60" s="210">
        <v>0</v>
      </c>
      <c r="G60" s="18"/>
    </row>
    <row r="61" spans="1:6" ht="15">
      <c r="A61" s="207"/>
      <c r="B61" s="208"/>
      <c r="C61" s="209"/>
      <c r="D61" s="208"/>
      <c r="E61" s="208"/>
      <c r="F61" s="210">
        <v>0</v>
      </c>
    </row>
    <row r="62" spans="1:6" ht="15">
      <c r="A62" s="207"/>
      <c r="B62" s="208"/>
      <c r="C62" s="209"/>
      <c r="D62" s="208"/>
      <c r="E62" s="208"/>
      <c r="F62" s="210">
        <v>0</v>
      </c>
    </row>
    <row r="63" spans="1:6" ht="15">
      <c r="A63" s="207"/>
      <c r="B63" s="208"/>
      <c r="C63" s="209"/>
      <c r="D63" s="208"/>
      <c r="E63" s="208"/>
      <c r="F63" s="210">
        <v>0</v>
      </c>
    </row>
    <row r="64" spans="1:6" ht="15">
      <c r="A64" s="207"/>
      <c r="B64" s="208"/>
      <c r="C64" s="209"/>
      <c r="D64" s="208"/>
      <c r="E64" s="208"/>
      <c r="F64" s="210">
        <v>0</v>
      </c>
    </row>
    <row r="65" spans="1:6" ht="15">
      <c r="A65" s="207"/>
      <c r="B65" s="208"/>
      <c r="C65" s="209"/>
      <c r="D65" s="208"/>
      <c r="E65" s="208"/>
      <c r="F65" s="210">
        <v>0</v>
      </c>
    </row>
    <row r="66" spans="1:6" ht="15">
      <c r="A66" s="207"/>
      <c r="B66" s="208"/>
      <c r="C66" s="209"/>
      <c r="D66" s="208"/>
      <c r="E66" s="208"/>
      <c r="F66" s="210">
        <v>0</v>
      </c>
    </row>
    <row r="67" spans="1:6" ht="15">
      <c r="A67" s="207"/>
      <c r="B67" s="208"/>
      <c r="C67" s="209"/>
      <c r="D67" s="208"/>
      <c r="E67" s="208"/>
      <c r="F67" s="210">
        <v>0</v>
      </c>
    </row>
    <row r="68" spans="1:6" ht="15">
      <c r="A68" s="207"/>
      <c r="B68" s="208"/>
      <c r="C68" s="209"/>
      <c r="D68" s="208"/>
      <c r="E68" s="208"/>
      <c r="F68" s="210">
        <v>0</v>
      </c>
    </row>
    <row r="69" spans="1:6" ht="15">
      <c r="A69" s="207"/>
      <c r="B69" s="208"/>
      <c r="C69" s="209"/>
      <c r="D69" s="208"/>
      <c r="E69" s="208"/>
      <c r="F69" s="210">
        <v>0</v>
      </c>
    </row>
    <row r="70" spans="1:6" ht="15">
      <c r="A70" s="207"/>
      <c r="B70" s="208"/>
      <c r="C70" s="209"/>
      <c r="D70" s="208"/>
      <c r="E70" s="208"/>
      <c r="F70" s="210">
        <v>0</v>
      </c>
    </row>
    <row r="71" spans="1:6" ht="15">
      <c r="A71" s="207"/>
      <c r="B71" s="208"/>
      <c r="C71" s="209"/>
      <c r="D71" s="208"/>
      <c r="E71" s="208"/>
      <c r="F71" s="210">
        <v>0</v>
      </c>
    </row>
    <row r="72" spans="1:6" ht="15">
      <c r="A72" s="207"/>
      <c r="B72" s="208"/>
      <c r="C72" s="209"/>
      <c r="D72" s="208"/>
      <c r="E72" s="208"/>
      <c r="F72" s="210">
        <v>0</v>
      </c>
    </row>
    <row r="73" spans="1:6" ht="15">
      <c r="A73" s="207"/>
      <c r="B73" s="208"/>
      <c r="C73" s="209"/>
      <c r="D73" s="208"/>
      <c r="E73" s="208"/>
      <c r="F73" s="210">
        <v>0</v>
      </c>
    </row>
    <row r="74" spans="1:6" ht="15">
      <c r="A74" s="207"/>
      <c r="B74" s="208"/>
      <c r="C74" s="209"/>
      <c r="D74" s="208"/>
      <c r="E74" s="208"/>
      <c r="F74" s="210">
        <v>0</v>
      </c>
    </row>
    <row r="75" spans="1:6" ht="15">
      <c r="A75" s="207"/>
      <c r="B75" s="208"/>
      <c r="C75" s="209"/>
      <c r="D75" s="208"/>
      <c r="E75" s="208"/>
      <c r="F75" s="210">
        <v>0</v>
      </c>
    </row>
    <row r="76" spans="1:6" ht="15">
      <c r="A76" s="207"/>
      <c r="B76" s="208"/>
      <c r="C76" s="209"/>
      <c r="D76" s="208"/>
      <c r="E76" s="208"/>
      <c r="F76" s="210">
        <v>0</v>
      </c>
    </row>
    <row r="77" spans="1:6" ht="15">
      <c r="A77" s="207"/>
      <c r="B77" s="208"/>
      <c r="C77" s="209"/>
      <c r="D77" s="208"/>
      <c r="E77" s="208"/>
      <c r="F77" s="210">
        <v>0</v>
      </c>
    </row>
    <row r="78" spans="1:6" ht="15">
      <c r="A78" s="207"/>
      <c r="B78" s="208"/>
      <c r="C78" s="209"/>
      <c r="D78" s="208"/>
      <c r="E78" s="208"/>
      <c r="F78" s="210">
        <v>0</v>
      </c>
    </row>
    <row r="79" spans="1:6" ht="15">
      <c r="A79" s="207"/>
      <c r="B79" s="208"/>
      <c r="C79" s="209"/>
      <c r="D79" s="208"/>
      <c r="E79" s="208"/>
      <c r="F79" s="210">
        <v>0</v>
      </c>
    </row>
    <row r="80" spans="1:6" ht="15">
      <c r="A80" s="207"/>
      <c r="B80" s="208"/>
      <c r="C80" s="209"/>
      <c r="D80" s="208"/>
      <c r="E80" s="208"/>
      <c r="F80" s="210">
        <v>0</v>
      </c>
    </row>
    <row r="81" spans="1:6" ht="15.75" thickBot="1">
      <c r="A81" s="211"/>
      <c r="B81" s="212"/>
      <c r="C81" s="213"/>
      <c r="D81" s="212"/>
      <c r="E81" s="212"/>
      <c r="F81" s="214">
        <v>0</v>
      </c>
    </row>
    <row r="82" spans="1:7" s="41" customFormat="1" ht="15.75">
      <c r="A82" s="116">
        <f>COUNT(A52:A81)</f>
        <v>0</v>
      </c>
      <c r="B82" s="146"/>
      <c r="C82" s="146"/>
      <c r="D82" s="146"/>
      <c r="E82" s="146"/>
      <c r="F82" s="117">
        <f>AVERAGE(LARGE(F52:F81,1),LARGE(F52:F81,2),LARGE(F52:F81,3))</f>
        <v>0</v>
      </c>
      <c r="G82" s="148"/>
    </row>
    <row r="83" spans="1:6" ht="15.75">
      <c r="A83" s="113"/>
      <c r="B83" s="11"/>
      <c r="C83" s="29"/>
      <c r="D83" s="11"/>
      <c r="E83" s="11"/>
      <c r="F83" s="149"/>
    </row>
    <row r="84" spans="1:6" ht="30.75" customHeight="1">
      <c r="A84" s="299" t="s">
        <v>223</v>
      </c>
      <c r="B84" s="300"/>
      <c r="C84" s="300"/>
      <c r="D84" s="300"/>
      <c r="E84" s="30">
        <f>ROUND(A82/3,2)</f>
        <v>0</v>
      </c>
      <c r="F84" s="104"/>
    </row>
    <row r="85" spans="1:6" ht="15.75">
      <c r="A85" s="31"/>
      <c r="B85" s="32"/>
      <c r="C85" s="29"/>
      <c r="D85" s="11"/>
      <c r="E85" s="11"/>
      <c r="F85" s="104"/>
    </row>
    <row r="86" spans="1:6" ht="15.75" thickBot="1">
      <c r="A86" s="113" t="s">
        <v>119</v>
      </c>
      <c r="B86" s="11"/>
      <c r="C86" s="11"/>
      <c r="D86" s="11"/>
      <c r="E86" s="11"/>
      <c r="F86" s="104"/>
    </row>
    <row r="87" spans="1:6" ht="15.75" thickBot="1">
      <c r="A87" s="113"/>
      <c r="B87" s="9" t="s">
        <v>48</v>
      </c>
      <c r="C87" s="27" t="s">
        <v>49</v>
      </c>
      <c r="D87" s="9" t="s">
        <v>120</v>
      </c>
      <c r="E87" s="11"/>
      <c r="F87" s="104"/>
    </row>
    <row r="88" spans="1:6" ht="15">
      <c r="A88" s="113"/>
      <c r="B88" s="261" t="s">
        <v>151</v>
      </c>
      <c r="C88" s="144">
        <v>1</v>
      </c>
      <c r="D88" s="144" t="b">
        <f>IF($E$84&gt;=0.21,IF($E$84&lt;=0.4,"1",0))</f>
        <v>0</v>
      </c>
      <c r="E88" s="11"/>
      <c r="F88" s="104"/>
    </row>
    <row r="89" spans="1:6" ht="15">
      <c r="A89" s="113"/>
      <c r="B89" s="262" t="s">
        <v>152</v>
      </c>
      <c r="C89" s="47">
        <v>2</v>
      </c>
      <c r="D89" s="47" t="b">
        <f>IF($E$84&gt;=0.41,IF($E$84&lt;=0.6,"2",0))</f>
        <v>0</v>
      </c>
      <c r="E89" s="11"/>
      <c r="F89" s="104"/>
    </row>
    <row r="90" spans="1:6" ht="15">
      <c r="A90" s="113"/>
      <c r="B90" s="262" t="s">
        <v>153</v>
      </c>
      <c r="C90" s="47">
        <v>3</v>
      </c>
      <c r="D90" s="47" t="b">
        <f>IF($E$84&gt;=0.61,IF($E$84&lt;=0.8,"3",0))</f>
        <v>0</v>
      </c>
      <c r="E90" s="11"/>
      <c r="F90" s="104"/>
    </row>
    <row r="91" spans="1:6" ht="15">
      <c r="A91" s="113"/>
      <c r="B91" s="262" t="s">
        <v>154</v>
      </c>
      <c r="C91" s="47">
        <v>4</v>
      </c>
      <c r="D91" s="47" t="b">
        <f>IF($E$84&gt;=0.81,IF($E$84&lt;=1,"4",0))</f>
        <v>0</v>
      </c>
      <c r="E91" s="11"/>
      <c r="F91" s="104"/>
    </row>
    <row r="92" spans="1:6" ht="15">
      <c r="A92" s="113"/>
      <c r="B92" s="262" t="s">
        <v>155</v>
      </c>
      <c r="C92" s="47">
        <v>5</v>
      </c>
      <c r="D92" s="47" t="b">
        <f>IF($E$84&gt;=1.01,IF($E$84&lt;=1.2,"5",0))</f>
        <v>0</v>
      </c>
      <c r="E92" s="11"/>
      <c r="F92" s="104"/>
    </row>
    <row r="93" spans="1:6" ht="15">
      <c r="A93" s="113"/>
      <c r="B93" s="262" t="s">
        <v>156</v>
      </c>
      <c r="C93" s="47">
        <v>6</v>
      </c>
      <c r="D93" s="47" t="b">
        <f>IF($E$84&gt;=1.21,IF($E$84&lt;=1.4,"6",0))</f>
        <v>0</v>
      </c>
      <c r="E93" s="11"/>
      <c r="F93" s="104"/>
    </row>
    <row r="94" spans="1:6" ht="15">
      <c r="A94" s="113"/>
      <c r="B94" s="262" t="s">
        <v>157</v>
      </c>
      <c r="C94" s="47">
        <v>7</v>
      </c>
      <c r="D94" s="47" t="b">
        <f>IF($E$84&gt;=1.41,IF($E$84&lt;=1.6,"7",0))</f>
        <v>0</v>
      </c>
      <c r="E94" s="11"/>
      <c r="F94" s="104"/>
    </row>
    <row r="95" spans="1:6" ht="15">
      <c r="A95" s="113"/>
      <c r="B95" s="262" t="s">
        <v>210</v>
      </c>
      <c r="C95" s="47">
        <v>8</v>
      </c>
      <c r="D95" s="47" t="b">
        <f>IF($E$84&gt;=1.61,IF($E$84&lt;=1.8,"8",0))</f>
        <v>0</v>
      </c>
      <c r="E95" s="11"/>
      <c r="F95" s="104"/>
    </row>
    <row r="96" spans="1:6" ht="15.75" thickBot="1">
      <c r="A96" s="113"/>
      <c r="B96" s="263" t="s">
        <v>235</v>
      </c>
      <c r="C96" s="50">
        <v>9</v>
      </c>
      <c r="D96" s="50">
        <f>IF($E$84&gt;=1.81,"9",0)</f>
        <v>0</v>
      </c>
      <c r="E96" s="11"/>
      <c r="F96" s="104"/>
    </row>
    <row r="97" spans="1:6" ht="15.75">
      <c r="A97" s="113"/>
      <c r="B97" s="11"/>
      <c r="C97" s="145"/>
      <c r="D97" s="11"/>
      <c r="E97" s="29"/>
      <c r="F97" s="104"/>
    </row>
    <row r="98" spans="1:6" ht="16.5" thickBot="1">
      <c r="A98" s="118" t="s">
        <v>81</v>
      </c>
      <c r="B98" s="143"/>
      <c r="C98" s="119">
        <f>D88+D89+D90+D91+D92+D93+D94+D95+D96</f>
        <v>0</v>
      </c>
      <c r="D98" s="143"/>
      <c r="E98" s="143"/>
      <c r="F98" s="132"/>
    </row>
    <row r="99" spans="1:6" ht="15.75">
      <c r="A99" s="147"/>
      <c r="B99" s="120"/>
      <c r="C99" s="145"/>
      <c r="D99" s="145"/>
      <c r="E99" s="145"/>
      <c r="F99" s="105"/>
    </row>
    <row r="100" spans="1:6" ht="48.75" customHeight="1">
      <c r="A100" s="296" t="s">
        <v>158</v>
      </c>
      <c r="B100" s="297"/>
      <c r="C100" s="297"/>
      <c r="D100" s="297"/>
      <c r="E100" s="297"/>
      <c r="F100" s="298"/>
    </row>
    <row r="101" spans="1:6" ht="15">
      <c r="A101" s="113"/>
      <c r="B101" s="33"/>
      <c r="C101" s="35"/>
      <c r="D101" s="35"/>
      <c r="E101" s="35"/>
      <c r="F101" s="112"/>
    </row>
    <row r="102" spans="1:6" ht="15">
      <c r="A102" s="299" t="s">
        <v>234</v>
      </c>
      <c r="B102" s="297"/>
      <c r="C102" s="297"/>
      <c r="D102" s="297"/>
      <c r="E102" s="297"/>
      <c r="F102" s="298"/>
    </row>
    <row r="103" spans="1:10" s="12" customFormat="1" ht="15.75" thickBot="1">
      <c r="A103" s="113"/>
      <c r="B103" s="34"/>
      <c r="C103" s="34"/>
      <c r="D103" s="34"/>
      <c r="E103" s="35"/>
      <c r="F103" s="112"/>
      <c r="G103" s="38"/>
      <c r="H103" s="150"/>
      <c r="I103" s="151"/>
      <c r="J103" s="106"/>
    </row>
    <row r="104" spans="1:10" ht="15.75" thickBot="1">
      <c r="A104" s="113"/>
      <c r="B104" s="9" t="s">
        <v>121</v>
      </c>
      <c r="C104" s="27" t="s">
        <v>49</v>
      </c>
      <c r="D104" s="9" t="s">
        <v>120</v>
      </c>
      <c r="E104" s="11"/>
      <c r="F104" s="104"/>
      <c r="H104" s="150"/>
      <c r="I104" s="151"/>
      <c r="J104" s="106"/>
    </row>
    <row r="105" spans="1:10" ht="15">
      <c r="A105" s="113"/>
      <c r="B105" s="264" t="s">
        <v>163</v>
      </c>
      <c r="C105" s="144">
        <v>1</v>
      </c>
      <c r="D105" s="144" t="b">
        <f>IF($F$82&gt;=0.269,IF($F$82&lt;=0.437,"1",0))</f>
        <v>0</v>
      </c>
      <c r="E105" s="11"/>
      <c r="F105" s="104"/>
      <c r="H105" s="150"/>
      <c r="I105" s="151"/>
      <c r="J105" s="106"/>
    </row>
    <row r="106" spans="1:10" ht="15">
      <c r="A106" s="113"/>
      <c r="B106" s="265" t="s">
        <v>164</v>
      </c>
      <c r="C106" s="47">
        <v>2</v>
      </c>
      <c r="D106" s="47" t="b">
        <f>IF($F$82&gt;=0.438,IF($F$82&lt;=0.586,"2",0))</f>
        <v>0</v>
      </c>
      <c r="E106" s="11"/>
      <c r="F106" s="104"/>
      <c r="H106" s="150"/>
      <c r="I106" s="151"/>
      <c r="J106" s="106"/>
    </row>
    <row r="107" spans="1:10" ht="15">
      <c r="A107" s="113"/>
      <c r="B107" s="265" t="s">
        <v>140</v>
      </c>
      <c r="C107" s="47">
        <v>3</v>
      </c>
      <c r="D107" s="47" t="b">
        <f>IF($F$82&gt;=0.587,IF($F$82&lt;=0.679,"3",0))</f>
        <v>0</v>
      </c>
      <c r="E107" s="11"/>
      <c r="F107" s="104"/>
      <c r="H107" s="150"/>
      <c r="I107" s="151"/>
      <c r="J107" s="108"/>
    </row>
    <row r="108" spans="1:10" ht="15">
      <c r="A108" s="113"/>
      <c r="B108" s="265" t="s">
        <v>141</v>
      </c>
      <c r="C108" s="48">
        <v>4</v>
      </c>
      <c r="D108" s="47" t="b">
        <f>IF($F$82&gt;=0.68,IF($F$82&lt;=0.857,"4",0))</f>
        <v>0</v>
      </c>
      <c r="E108" s="11"/>
      <c r="F108" s="104"/>
      <c r="G108" s="37"/>
      <c r="H108" s="150"/>
      <c r="I108" s="151"/>
      <c r="J108" s="106"/>
    </row>
    <row r="109" spans="1:10" ht="15">
      <c r="A109" s="113"/>
      <c r="B109" s="265" t="s">
        <v>142</v>
      </c>
      <c r="C109" s="48">
        <v>5</v>
      </c>
      <c r="D109" s="47" t="b">
        <f>IF($F$82&gt;=0.858,IF($F$82&lt;=1,"5",0))</f>
        <v>0</v>
      </c>
      <c r="E109" s="11"/>
      <c r="F109" s="104"/>
      <c r="G109" s="38"/>
      <c r="H109" s="150"/>
      <c r="I109" s="151"/>
      <c r="J109" s="108"/>
    </row>
    <row r="110" spans="1:10" ht="15">
      <c r="A110" s="113"/>
      <c r="B110" s="265" t="s">
        <v>165</v>
      </c>
      <c r="C110" s="48">
        <v>6</v>
      </c>
      <c r="D110" s="47" t="b">
        <f>IF($F$82&gt;=1.001,IF($F$82&lt;=1.222,"6",0))</f>
        <v>0</v>
      </c>
      <c r="E110" s="11"/>
      <c r="F110" s="104"/>
      <c r="G110" s="38"/>
      <c r="H110" s="150"/>
      <c r="I110" s="151"/>
      <c r="J110" s="107"/>
    </row>
    <row r="111" spans="1:10" ht="15">
      <c r="A111" s="113"/>
      <c r="B111" s="265" t="s">
        <v>166</v>
      </c>
      <c r="C111" s="48">
        <v>7</v>
      </c>
      <c r="D111" s="47" t="b">
        <f>IF($F$82&gt;=1.223,IF($F$82&lt;=1.83,"7",0))</f>
        <v>0</v>
      </c>
      <c r="E111" s="11"/>
      <c r="F111" s="104"/>
      <c r="G111" s="38"/>
      <c r="H111" s="150"/>
      <c r="I111" s="151"/>
      <c r="J111" s="106"/>
    </row>
    <row r="112" spans="1:10" ht="15">
      <c r="A112" s="113"/>
      <c r="B112" s="265" t="s">
        <v>209</v>
      </c>
      <c r="C112" s="48">
        <v>8</v>
      </c>
      <c r="D112" s="47" t="b">
        <f>IF($F$82&gt;=1.831,IF($F$82&lt;=2.109,"8",0))</f>
        <v>0</v>
      </c>
      <c r="E112" s="11"/>
      <c r="F112" s="104"/>
      <c r="G112" s="38"/>
      <c r="H112" s="150"/>
      <c r="I112" s="151"/>
      <c r="J112" s="106"/>
    </row>
    <row r="113" spans="1:10" ht="15.75" thickBot="1">
      <c r="A113" s="113"/>
      <c r="B113" s="266" t="s">
        <v>226</v>
      </c>
      <c r="C113" s="50">
        <v>9</v>
      </c>
      <c r="D113" s="50">
        <f>IF($F$82&gt;=2.11,"9",0)</f>
        <v>0</v>
      </c>
      <c r="E113" s="11"/>
      <c r="F113" s="104"/>
      <c r="G113" s="38"/>
      <c r="H113" s="150"/>
      <c r="I113" s="151"/>
      <c r="J113" s="106"/>
    </row>
    <row r="114" spans="1:10" ht="15.75">
      <c r="A114" s="113"/>
      <c r="B114" s="152"/>
      <c r="C114" s="11"/>
      <c r="D114" s="25"/>
      <c r="E114" s="1"/>
      <c r="F114" s="104"/>
      <c r="G114" s="38"/>
      <c r="H114" s="150"/>
      <c r="I114" s="151"/>
      <c r="J114" s="106"/>
    </row>
    <row r="115" spans="1:7" ht="15.75">
      <c r="A115" s="113" t="s">
        <v>113</v>
      </c>
      <c r="B115" s="11"/>
      <c r="C115" s="39">
        <f>D105+D106+D107+D108+D109+D110+D111+D112+D113</f>
        <v>0</v>
      </c>
      <c r="D115" s="35"/>
      <c r="E115" s="11"/>
      <c r="F115" s="115"/>
      <c r="G115" s="38"/>
    </row>
    <row r="116" spans="1:7" ht="15.75">
      <c r="A116" s="113"/>
      <c r="B116" s="11"/>
      <c r="C116" s="40"/>
      <c r="D116" s="35"/>
      <c r="E116" s="11"/>
      <c r="F116" s="115"/>
      <c r="G116" s="38"/>
    </row>
    <row r="117" spans="1:6" ht="67.5" customHeight="1">
      <c r="A117" s="296" t="s">
        <v>8</v>
      </c>
      <c r="B117" s="297"/>
      <c r="C117" s="297"/>
      <c r="D117" s="297"/>
      <c r="E117" s="297"/>
      <c r="F117" s="298"/>
    </row>
    <row r="118" spans="1:6" ht="15">
      <c r="A118" s="113"/>
      <c r="B118" s="33"/>
      <c r="C118" s="35"/>
      <c r="D118" s="35"/>
      <c r="E118" s="35"/>
      <c r="F118" s="112"/>
    </row>
    <row r="119" spans="1:10" ht="93" customHeight="1">
      <c r="A119" s="299" t="s">
        <v>7</v>
      </c>
      <c r="B119" s="297"/>
      <c r="C119" s="297"/>
      <c r="D119" s="297"/>
      <c r="E119" s="297"/>
      <c r="F119" s="298"/>
      <c r="H119" s="12"/>
      <c r="I119" s="12"/>
      <c r="J119" s="12"/>
    </row>
    <row r="120" spans="1:6" ht="15">
      <c r="A120" s="111"/>
      <c r="B120" s="11"/>
      <c r="C120" s="11"/>
      <c r="D120" s="11"/>
      <c r="E120" s="11"/>
      <c r="F120" s="104"/>
    </row>
    <row r="121" spans="1:10" s="12" customFormat="1" ht="15">
      <c r="A121" s="113"/>
      <c r="B121" s="35"/>
      <c r="C121" s="35"/>
      <c r="D121" s="35"/>
      <c r="E121" s="35"/>
      <c r="F121" s="112"/>
      <c r="G121" s="38"/>
      <c r="H121" s="41"/>
      <c r="I121" s="41"/>
      <c r="J121" s="41"/>
    </row>
    <row r="122" spans="1:11" s="44" customFormat="1" ht="15.75" thickBot="1">
      <c r="A122" s="113" t="s">
        <v>67</v>
      </c>
      <c r="B122" s="25"/>
      <c r="C122" s="25"/>
      <c r="D122" s="11"/>
      <c r="E122" s="11"/>
      <c r="F122" s="121"/>
      <c r="H122" s="41"/>
      <c r="I122" s="41"/>
      <c r="J122" s="41"/>
      <c r="K122" s="18"/>
    </row>
    <row r="123" spans="1:10" s="41" customFormat="1" ht="30.75" thickBot="1">
      <c r="A123" s="9" t="s">
        <v>122</v>
      </c>
      <c r="B123" s="28" t="s">
        <v>68</v>
      </c>
      <c r="C123" s="28" t="s">
        <v>86</v>
      </c>
      <c r="D123" s="28" t="s">
        <v>111</v>
      </c>
      <c r="E123" s="27" t="s">
        <v>69</v>
      </c>
      <c r="F123" s="122"/>
      <c r="H123" s="18"/>
      <c r="I123" s="18"/>
      <c r="J123" s="18"/>
    </row>
    <row r="124" spans="1:10" s="41" customFormat="1" ht="15.75" thickBot="1">
      <c r="A124" s="123" t="s">
        <v>20</v>
      </c>
      <c r="B124" s="42"/>
      <c r="C124" s="42"/>
      <c r="D124" s="42"/>
      <c r="E124" s="96"/>
      <c r="F124" s="124"/>
      <c r="H124" s="18"/>
      <c r="I124" s="18"/>
      <c r="J124" s="18"/>
    </row>
    <row r="125" spans="1:7" ht="15">
      <c r="A125" s="204"/>
      <c r="B125" s="215"/>
      <c r="C125" s="216">
        <v>0</v>
      </c>
      <c r="D125" s="216">
        <v>0</v>
      </c>
      <c r="E125" s="98">
        <f>SUM(C125:D125)</f>
        <v>0</v>
      </c>
      <c r="F125" s="104"/>
      <c r="G125" s="18"/>
    </row>
    <row r="126" spans="1:7" ht="15">
      <c r="A126" s="208"/>
      <c r="B126" s="217"/>
      <c r="C126" s="218">
        <v>0</v>
      </c>
      <c r="D126" s="218">
        <v>0</v>
      </c>
      <c r="E126" s="99">
        <f aca="true" t="shared" si="0" ref="E126:E134">SUM(C126:D126)</f>
        <v>0</v>
      </c>
      <c r="F126" s="104"/>
      <c r="G126" s="18"/>
    </row>
    <row r="127" spans="1:7" ht="15">
      <c r="A127" s="208"/>
      <c r="B127" s="219"/>
      <c r="C127" s="218">
        <v>0</v>
      </c>
      <c r="D127" s="218">
        <v>0</v>
      </c>
      <c r="E127" s="99">
        <f t="shared" si="0"/>
        <v>0</v>
      </c>
      <c r="F127" s="104"/>
      <c r="G127" s="18"/>
    </row>
    <row r="128" spans="1:7" ht="15">
      <c r="A128" s="208"/>
      <c r="B128" s="219"/>
      <c r="C128" s="218">
        <v>0</v>
      </c>
      <c r="D128" s="218">
        <v>0</v>
      </c>
      <c r="E128" s="99">
        <f t="shared" si="0"/>
        <v>0</v>
      </c>
      <c r="F128" s="104"/>
      <c r="G128" s="18"/>
    </row>
    <row r="129" spans="1:7" ht="15">
      <c r="A129" s="208"/>
      <c r="B129" s="219"/>
      <c r="C129" s="218">
        <v>0</v>
      </c>
      <c r="D129" s="218">
        <v>0</v>
      </c>
      <c r="E129" s="99">
        <f t="shared" si="0"/>
        <v>0</v>
      </c>
      <c r="F129" s="104"/>
      <c r="G129" s="18"/>
    </row>
    <row r="130" spans="1:7" ht="15">
      <c r="A130" s="208"/>
      <c r="B130" s="219"/>
      <c r="C130" s="218">
        <v>0</v>
      </c>
      <c r="D130" s="218">
        <v>0</v>
      </c>
      <c r="E130" s="99">
        <f t="shared" si="0"/>
        <v>0</v>
      </c>
      <c r="F130" s="104"/>
      <c r="G130" s="18"/>
    </row>
    <row r="131" spans="1:7" ht="15">
      <c r="A131" s="208"/>
      <c r="B131" s="219"/>
      <c r="C131" s="218">
        <v>0</v>
      </c>
      <c r="D131" s="218">
        <v>0</v>
      </c>
      <c r="E131" s="99">
        <f t="shared" si="0"/>
        <v>0</v>
      </c>
      <c r="F131" s="104"/>
      <c r="G131" s="18"/>
    </row>
    <row r="132" spans="1:7" ht="15">
      <c r="A132" s="208"/>
      <c r="B132" s="219"/>
      <c r="C132" s="218">
        <v>0</v>
      </c>
      <c r="D132" s="218">
        <v>0</v>
      </c>
      <c r="E132" s="99">
        <f t="shared" si="0"/>
        <v>0</v>
      </c>
      <c r="F132" s="104"/>
      <c r="G132" s="18"/>
    </row>
    <row r="133" spans="1:7" ht="15">
      <c r="A133" s="208" t="s">
        <v>15</v>
      </c>
      <c r="B133" s="219" t="s">
        <v>15</v>
      </c>
      <c r="C133" s="218">
        <v>0</v>
      </c>
      <c r="D133" s="218">
        <v>0</v>
      </c>
      <c r="E133" s="99">
        <f t="shared" si="0"/>
        <v>0</v>
      </c>
      <c r="F133" s="104"/>
      <c r="G133" s="18"/>
    </row>
    <row r="134" spans="1:7" ht="15.75" thickBot="1">
      <c r="A134" s="212"/>
      <c r="B134" s="220"/>
      <c r="C134" s="221">
        <v>0</v>
      </c>
      <c r="D134" s="221">
        <v>0</v>
      </c>
      <c r="E134" s="100">
        <f t="shared" si="0"/>
        <v>0</v>
      </c>
      <c r="F134" s="104"/>
      <c r="G134" s="18"/>
    </row>
    <row r="135" spans="1:7" ht="15.75" thickBot="1">
      <c r="A135" s="123" t="s">
        <v>21</v>
      </c>
      <c r="B135" s="42"/>
      <c r="C135" s="43"/>
      <c r="D135" s="43"/>
      <c r="E135" s="97"/>
      <c r="F135" s="104"/>
      <c r="G135" s="18"/>
    </row>
    <row r="136" spans="1:7" ht="15">
      <c r="A136" s="208"/>
      <c r="B136" s="222"/>
      <c r="C136" s="218">
        <v>0</v>
      </c>
      <c r="D136" s="223">
        <v>0</v>
      </c>
      <c r="E136" s="98">
        <f>SUM(C136:D136)</f>
        <v>0</v>
      </c>
      <c r="F136" s="104"/>
      <c r="G136" s="18"/>
    </row>
    <row r="137" spans="1:7" ht="15">
      <c r="A137" s="208"/>
      <c r="B137" s="222"/>
      <c r="C137" s="218">
        <v>0</v>
      </c>
      <c r="D137" s="223">
        <v>0</v>
      </c>
      <c r="E137" s="99">
        <f aca="true" t="shared" si="1" ref="E137:E145">SUM(C137:D137)</f>
        <v>0</v>
      </c>
      <c r="F137" s="104"/>
      <c r="G137" s="18"/>
    </row>
    <row r="138" spans="1:7" ht="15">
      <c r="A138" s="208"/>
      <c r="B138" s="224"/>
      <c r="C138" s="218">
        <v>0</v>
      </c>
      <c r="D138" s="223">
        <v>0</v>
      </c>
      <c r="E138" s="99">
        <f t="shared" si="1"/>
        <v>0</v>
      </c>
      <c r="F138" s="104"/>
      <c r="G138" s="18"/>
    </row>
    <row r="139" spans="1:7" ht="15">
      <c r="A139" s="208"/>
      <c r="B139" s="224"/>
      <c r="C139" s="218">
        <v>0</v>
      </c>
      <c r="D139" s="223">
        <v>0</v>
      </c>
      <c r="E139" s="99">
        <f t="shared" si="1"/>
        <v>0</v>
      </c>
      <c r="F139" s="104"/>
      <c r="G139" s="18"/>
    </row>
    <row r="140" spans="1:7" ht="15">
      <c r="A140" s="208"/>
      <c r="B140" s="224"/>
      <c r="C140" s="218">
        <v>0</v>
      </c>
      <c r="D140" s="223">
        <v>0</v>
      </c>
      <c r="E140" s="99">
        <f t="shared" si="1"/>
        <v>0</v>
      </c>
      <c r="F140" s="104"/>
      <c r="G140" s="18"/>
    </row>
    <row r="141" spans="1:7" ht="15">
      <c r="A141" s="208"/>
      <c r="B141" s="224"/>
      <c r="C141" s="218">
        <v>0</v>
      </c>
      <c r="D141" s="223">
        <v>0</v>
      </c>
      <c r="E141" s="99">
        <f t="shared" si="1"/>
        <v>0</v>
      </c>
      <c r="F141" s="104"/>
      <c r="G141" s="18"/>
    </row>
    <row r="142" spans="1:7" ht="15">
      <c r="A142" s="208"/>
      <c r="B142" s="224"/>
      <c r="C142" s="218">
        <v>0</v>
      </c>
      <c r="D142" s="223">
        <v>0</v>
      </c>
      <c r="E142" s="99">
        <f t="shared" si="1"/>
        <v>0</v>
      </c>
      <c r="F142" s="104"/>
      <c r="G142" s="18"/>
    </row>
    <row r="143" spans="1:7" ht="15">
      <c r="A143" s="208"/>
      <c r="B143" s="224"/>
      <c r="C143" s="218">
        <v>0</v>
      </c>
      <c r="D143" s="223">
        <v>0</v>
      </c>
      <c r="E143" s="99">
        <f t="shared" si="1"/>
        <v>0</v>
      </c>
      <c r="F143" s="104"/>
      <c r="G143" s="18"/>
    </row>
    <row r="144" spans="1:7" ht="15">
      <c r="A144" s="208"/>
      <c r="B144" s="224"/>
      <c r="C144" s="218">
        <v>0</v>
      </c>
      <c r="D144" s="223">
        <v>0</v>
      </c>
      <c r="E144" s="99">
        <f t="shared" si="1"/>
        <v>0</v>
      </c>
      <c r="F144" s="104"/>
      <c r="G144" s="18"/>
    </row>
    <row r="145" spans="1:7" ht="15.75" thickBot="1">
      <c r="A145" s="208"/>
      <c r="B145" s="224"/>
      <c r="C145" s="218">
        <v>0</v>
      </c>
      <c r="D145" s="223">
        <v>0</v>
      </c>
      <c r="E145" s="100">
        <f t="shared" si="1"/>
        <v>0</v>
      </c>
      <c r="F145" s="104"/>
      <c r="G145" s="18"/>
    </row>
    <row r="146" spans="1:7" ht="15.75" thickBot="1">
      <c r="A146" s="102" t="s">
        <v>22</v>
      </c>
      <c r="B146" s="42"/>
      <c r="C146" s="43"/>
      <c r="D146" s="43"/>
      <c r="E146" s="97"/>
      <c r="F146" s="104"/>
      <c r="G146" s="18"/>
    </row>
    <row r="147" spans="1:7" ht="15">
      <c r="A147" s="208"/>
      <c r="B147" s="222"/>
      <c r="C147" s="218">
        <v>0</v>
      </c>
      <c r="D147" s="223">
        <v>0</v>
      </c>
      <c r="E147" s="98">
        <f>SUM(C147:D147)/2</f>
        <v>0</v>
      </c>
      <c r="F147" s="104"/>
      <c r="G147" s="18"/>
    </row>
    <row r="148" spans="1:7" ht="15">
      <c r="A148" s="208"/>
      <c r="B148" s="224"/>
      <c r="C148" s="218">
        <v>0</v>
      </c>
      <c r="D148" s="223">
        <v>0</v>
      </c>
      <c r="E148" s="99">
        <f>SUM(C148:D148)/2</f>
        <v>0</v>
      </c>
      <c r="F148" s="104"/>
      <c r="G148" s="18"/>
    </row>
    <row r="149" spans="1:7" ht="15">
      <c r="A149" s="208"/>
      <c r="B149" s="224"/>
      <c r="C149" s="218">
        <v>0</v>
      </c>
      <c r="D149" s="223">
        <v>0</v>
      </c>
      <c r="E149" s="99">
        <f>SUM(C149:D149)/2</f>
        <v>0</v>
      </c>
      <c r="F149" s="104"/>
      <c r="G149" s="18"/>
    </row>
    <row r="150" spans="1:7" ht="15">
      <c r="A150" s="208" t="s">
        <v>15</v>
      </c>
      <c r="B150" s="224"/>
      <c r="C150" s="218">
        <v>0</v>
      </c>
      <c r="D150" s="223">
        <v>0</v>
      </c>
      <c r="E150" s="99">
        <f>SUM(C150:D150)/2</f>
        <v>0</v>
      </c>
      <c r="F150" s="104"/>
      <c r="G150" s="18"/>
    </row>
    <row r="151" spans="1:7" ht="15.75" thickBot="1">
      <c r="A151" s="212" t="s">
        <v>15</v>
      </c>
      <c r="B151" s="225"/>
      <c r="C151" s="221">
        <v>0</v>
      </c>
      <c r="D151" s="226">
        <v>0</v>
      </c>
      <c r="E151" s="100">
        <f>SUM(C151:D151)/2</f>
        <v>0</v>
      </c>
      <c r="F151" s="104"/>
      <c r="G151" s="18"/>
    </row>
    <row r="152" spans="1:6" ht="16.5" thickBot="1">
      <c r="A152" s="125"/>
      <c r="B152" s="143"/>
      <c r="C152" s="143"/>
      <c r="D152" s="143"/>
      <c r="E152" s="126">
        <f>SUM(E125:E151)</f>
        <v>0</v>
      </c>
      <c r="F152" s="132"/>
    </row>
    <row r="153" spans="1:6" ht="15.75">
      <c r="A153" s="127"/>
      <c r="B153" s="145"/>
      <c r="C153" s="145"/>
      <c r="D153" s="145"/>
      <c r="E153" s="145"/>
      <c r="F153" s="128"/>
    </row>
    <row r="154" spans="1:6" ht="32.25" customHeight="1" thickBot="1">
      <c r="A154" s="299" t="s">
        <v>197</v>
      </c>
      <c r="B154" s="301"/>
      <c r="C154" s="301"/>
      <c r="D154" s="301"/>
      <c r="E154" s="301"/>
      <c r="F154" s="302"/>
    </row>
    <row r="155" spans="1:6" ht="45.75" thickBot="1">
      <c r="A155" s="113"/>
      <c r="B155" s="110" t="s">
        <v>122</v>
      </c>
      <c r="C155" s="28" t="s">
        <v>123</v>
      </c>
      <c r="D155" s="9" t="s">
        <v>167</v>
      </c>
      <c r="E155" s="11"/>
      <c r="F155" s="129"/>
    </row>
    <row r="156" spans="1:6" ht="15.75">
      <c r="A156" s="113"/>
      <c r="B156" s="227"/>
      <c r="C156" s="228"/>
      <c r="D156" s="229"/>
      <c r="E156" s="11"/>
      <c r="F156" s="129"/>
    </row>
    <row r="157" spans="1:6" ht="15.75">
      <c r="A157" s="113"/>
      <c r="B157" s="230"/>
      <c r="C157" s="231"/>
      <c r="D157" s="232"/>
      <c r="E157" s="11"/>
      <c r="F157" s="129"/>
    </row>
    <row r="158" spans="1:6" ht="15.75">
      <c r="A158" s="113"/>
      <c r="B158" s="230"/>
      <c r="C158" s="231"/>
      <c r="D158" s="232"/>
      <c r="E158" s="11"/>
      <c r="F158" s="129"/>
    </row>
    <row r="159" spans="1:6" ht="15.75">
      <c r="A159" s="113"/>
      <c r="B159" s="233"/>
      <c r="C159" s="234"/>
      <c r="D159" s="235"/>
      <c r="E159" s="11"/>
      <c r="F159" s="129"/>
    </row>
    <row r="160" spans="1:6" ht="16.5" thickBot="1">
      <c r="A160" s="113"/>
      <c r="B160" s="236"/>
      <c r="C160" s="237"/>
      <c r="D160" s="238"/>
      <c r="E160" s="11"/>
      <c r="F160" s="129"/>
    </row>
    <row r="161" spans="1:6" ht="15.75">
      <c r="A161" s="130"/>
      <c r="B161" s="11"/>
      <c r="C161" s="11"/>
      <c r="D161" s="11"/>
      <c r="E161" s="11"/>
      <c r="F161" s="129"/>
    </row>
    <row r="162" spans="1:6" ht="15.75" thickBot="1">
      <c r="A162" s="293" t="s">
        <v>215</v>
      </c>
      <c r="B162" s="294"/>
      <c r="C162" s="294"/>
      <c r="D162" s="294"/>
      <c r="E162" s="294"/>
      <c r="F162" s="295"/>
    </row>
    <row r="163" spans="1:6" ht="60.75" thickBot="1">
      <c r="A163" s="113"/>
      <c r="B163" s="9" t="s">
        <v>66</v>
      </c>
      <c r="C163" s="9" t="s">
        <v>122</v>
      </c>
      <c r="D163" s="28" t="s">
        <v>123</v>
      </c>
      <c r="E163" s="9" t="s">
        <v>137</v>
      </c>
      <c r="F163" s="129"/>
    </row>
    <row r="164" spans="1:6" ht="15.75">
      <c r="A164" s="113"/>
      <c r="B164" s="206"/>
      <c r="C164" s="204"/>
      <c r="D164" s="239"/>
      <c r="E164" s="215"/>
      <c r="F164" s="129"/>
    </row>
    <row r="165" spans="1:6" ht="15.75">
      <c r="A165" s="113"/>
      <c r="B165" s="240"/>
      <c r="C165" s="241"/>
      <c r="D165" s="242"/>
      <c r="E165" s="243"/>
      <c r="F165" s="129"/>
    </row>
    <row r="166" spans="1:6" ht="15.75">
      <c r="A166" s="113"/>
      <c r="B166" s="240"/>
      <c r="C166" s="241"/>
      <c r="D166" s="242"/>
      <c r="E166" s="243"/>
      <c r="F166" s="129"/>
    </row>
    <row r="167" spans="1:6" ht="15.75">
      <c r="A167" s="113"/>
      <c r="B167" s="210"/>
      <c r="C167" s="208"/>
      <c r="D167" s="224"/>
      <c r="E167" s="217"/>
      <c r="F167" s="129"/>
    </row>
    <row r="168" spans="1:6" ht="16.5" thickBot="1">
      <c r="A168" s="113"/>
      <c r="B168" s="214"/>
      <c r="C168" s="212"/>
      <c r="D168" s="225"/>
      <c r="E168" s="244"/>
      <c r="F168" s="129"/>
    </row>
    <row r="169" spans="1:6" ht="15.75">
      <c r="A169" s="113"/>
      <c r="B169" s="153">
        <f>COUNT(B164:B168)</f>
        <v>0</v>
      </c>
      <c r="C169" s="101"/>
      <c r="D169" s="101"/>
      <c r="E169" s="101"/>
      <c r="F169" s="129"/>
    </row>
    <row r="170" spans="1:6" ht="15.75">
      <c r="A170" s="130"/>
      <c r="B170" s="11"/>
      <c r="C170" s="11"/>
      <c r="D170" s="11"/>
      <c r="E170" s="11"/>
      <c r="F170" s="129"/>
    </row>
    <row r="171" spans="1:10" ht="15.75">
      <c r="A171" s="113" t="s">
        <v>58</v>
      </c>
      <c r="B171" s="10"/>
      <c r="C171" s="30">
        <f>E152+B169</f>
        <v>0</v>
      </c>
      <c r="D171" s="11"/>
      <c r="E171" s="11"/>
      <c r="F171" s="104"/>
      <c r="G171" s="154"/>
      <c r="H171" s="41"/>
      <c r="I171" s="41"/>
      <c r="J171" s="41"/>
    </row>
    <row r="172" spans="1:7" ht="16.5" thickBot="1">
      <c r="A172" s="113"/>
      <c r="B172" s="10"/>
      <c r="C172" s="11"/>
      <c r="D172" s="11"/>
      <c r="E172" s="11"/>
      <c r="F172" s="104"/>
      <c r="G172" s="154"/>
    </row>
    <row r="173" spans="1:11" s="148" customFormat="1" ht="15.75" thickBot="1">
      <c r="A173" s="155"/>
      <c r="B173" s="27"/>
      <c r="C173" s="27" t="s">
        <v>49</v>
      </c>
      <c r="D173" s="9" t="s">
        <v>120</v>
      </c>
      <c r="E173" s="146"/>
      <c r="F173" s="124"/>
      <c r="G173" s="45"/>
      <c r="H173" s="18"/>
      <c r="I173" s="18"/>
      <c r="J173" s="18"/>
      <c r="K173" s="41"/>
    </row>
    <row r="174" spans="1:6" ht="15">
      <c r="A174" s="113"/>
      <c r="B174" s="46" t="s">
        <v>57</v>
      </c>
      <c r="C174" s="47">
        <v>0</v>
      </c>
      <c r="D174" s="144" t="str">
        <f>IF($C$171&gt;=0,IF($C$171&lt;=0.49,"0",0))</f>
        <v>0</v>
      </c>
      <c r="E174" s="11"/>
      <c r="F174" s="104"/>
    </row>
    <row r="175" spans="1:6" ht="15">
      <c r="A175" s="113"/>
      <c r="B175" s="48" t="s">
        <v>124</v>
      </c>
      <c r="C175" s="47">
        <v>5</v>
      </c>
      <c r="D175" s="47" t="b">
        <f>IF($C$171&gt;=0.5,IF($C$171&lt;=0.99,"5",0))</f>
        <v>0</v>
      </c>
      <c r="E175" s="11"/>
      <c r="F175" s="104"/>
    </row>
    <row r="176" spans="1:6" ht="15">
      <c r="A176" s="113"/>
      <c r="B176" s="48" t="s">
        <v>125</v>
      </c>
      <c r="C176" s="47">
        <v>6</v>
      </c>
      <c r="D176" s="47" t="b">
        <f>IF($C$171&gt;=1,IF($C$171&lt;=1.49,"6",0))</f>
        <v>0</v>
      </c>
      <c r="E176" s="11"/>
      <c r="F176" s="104"/>
    </row>
    <row r="177" spans="1:6" ht="15">
      <c r="A177" s="113"/>
      <c r="B177" s="48" t="s">
        <v>126</v>
      </c>
      <c r="C177" s="47">
        <v>7</v>
      </c>
      <c r="D177" s="47" t="b">
        <f>IF($C$171&gt;=1.5,IF($C$171&lt;=1.99,"7",0))</f>
        <v>0</v>
      </c>
      <c r="E177" s="11"/>
      <c r="F177" s="104"/>
    </row>
    <row r="178" spans="1:6" ht="15">
      <c r="A178" s="113"/>
      <c r="B178" s="92" t="s">
        <v>127</v>
      </c>
      <c r="C178" s="93">
        <v>8</v>
      </c>
      <c r="D178" s="47" t="b">
        <f>IF($C$171&gt;=2,IF($C$171&lt;=2.49,"8",0))</f>
        <v>0</v>
      </c>
      <c r="E178" s="11"/>
      <c r="F178" s="104"/>
    </row>
    <row r="179" spans="1:6" ht="30.75" thickBot="1">
      <c r="A179" s="113"/>
      <c r="B179" s="49" t="s">
        <v>43</v>
      </c>
      <c r="C179" s="50">
        <v>9</v>
      </c>
      <c r="D179" s="50">
        <f>IF($C$171&gt;=2.5,"9",0)</f>
        <v>0</v>
      </c>
      <c r="E179" s="29"/>
      <c r="F179" s="104"/>
    </row>
    <row r="180" spans="1:6" ht="15.75">
      <c r="A180" s="113"/>
      <c r="B180" s="35"/>
      <c r="C180" s="25"/>
      <c r="D180" s="62">
        <f>D174+D175+D176+D177+D178+D179</f>
        <v>0</v>
      </c>
      <c r="E180" s="29"/>
      <c r="F180" s="104"/>
    </row>
    <row r="181" spans="1:6" ht="15.75">
      <c r="A181" s="113"/>
      <c r="B181" s="11"/>
      <c r="C181" s="11"/>
      <c r="D181" s="29"/>
      <c r="E181" s="11"/>
      <c r="F181" s="104"/>
    </row>
    <row r="182" spans="1:6" ht="15.75">
      <c r="A182" s="113" t="s">
        <v>29</v>
      </c>
      <c r="B182" s="1"/>
      <c r="C182" s="11"/>
      <c r="D182" s="30">
        <f>D180</f>
        <v>0</v>
      </c>
      <c r="E182" s="11"/>
      <c r="F182" s="104"/>
    </row>
    <row r="183" spans="1:6" ht="15.75">
      <c r="A183" s="113"/>
      <c r="B183" s="1"/>
      <c r="C183" s="11"/>
      <c r="D183" s="29"/>
      <c r="E183" s="11"/>
      <c r="F183" s="104"/>
    </row>
    <row r="184" spans="1:6" ht="15.75">
      <c r="A184" s="114" t="s">
        <v>135</v>
      </c>
      <c r="B184" s="1"/>
      <c r="C184" s="11"/>
      <c r="D184" s="29"/>
      <c r="E184" s="11"/>
      <c r="F184" s="104"/>
    </row>
    <row r="185" spans="1:6" ht="15.75">
      <c r="A185" s="293" t="s">
        <v>136</v>
      </c>
      <c r="B185" s="274"/>
      <c r="C185" s="274"/>
      <c r="D185" s="274"/>
      <c r="E185" s="274"/>
      <c r="F185" s="275"/>
    </row>
    <row r="186" spans="1:6" ht="30" customHeight="1">
      <c r="A186" s="293" t="s">
        <v>198</v>
      </c>
      <c r="B186" s="294"/>
      <c r="C186" s="294"/>
      <c r="D186" s="294"/>
      <c r="E186" s="294"/>
      <c r="F186" s="295"/>
    </row>
    <row r="187" spans="1:6" ht="15">
      <c r="A187" s="166"/>
      <c r="B187" s="101"/>
      <c r="C187" s="101"/>
      <c r="D187" s="101"/>
      <c r="E187" s="101"/>
      <c r="F187" s="140"/>
    </row>
    <row r="188" spans="1:6" ht="15.75">
      <c r="A188" s="109" t="s">
        <v>37</v>
      </c>
      <c r="B188" s="11"/>
      <c r="C188" s="51" t="s">
        <v>30</v>
      </c>
      <c r="D188" s="11"/>
      <c r="E188" s="11"/>
      <c r="F188" s="104"/>
    </row>
    <row r="189" spans="1:6" ht="16.5" thickBot="1">
      <c r="A189" s="113"/>
      <c r="B189" s="25"/>
      <c r="C189" s="52">
        <v>3</v>
      </c>
      <c r="D189" s="11"/>
      <c r="E189" s="11"/>
      <c r="F189" s="104"/>
    </row>
    <row r="190" spans="1:6" ht="16.5" thickBot="1">
      <c r="A190" s="113"/>
      <c r="B190" s="156"/>
      <c r="C190" s="53">
        <f>ROUND((C98+C115+D182)/3,2)</f>
        <v>0</v>
      </c>
      <c r="D190" s="11"/>
      <c r="E190" s="11"/>
      <c r="F190" s="104"/>
    </row>
    <row r="191" spans="1:6" ht="16.5" thickBot="1">
      <c r="A191" s="118"/>
      <c r="B191" s="180" t="s">
        <v>87</v>
      </c>
      <c r="C191" s="143"/>
      <c r="D191" s="143"/>
      <c r="E191" s="143"/>
      <c r="F191" s="132"/>
    </row>
    <row r="192" spans="1:6" ht="15.75">
      <c r="A192" s="135" t="s">
        <v>82</v>
      </c>
      <c r="B192" s="145"/>
      <c r="C192" s="145"/>
      <c r="D192" s="145"/>
      <c r="E192" s="145"/>
      <c r="F192" s="105"/>
    </row>
    <row r="193" spans="1:7" s="7" customFormat="1" ht="72" customHeight="1">
      <c r="A193" s="296" t="s">
        <v>216</v>
      </c>
      <c r="B193" s="297"/>
      <c r="C193" s="297"/>
      <c r="D193" s="297"/>
      <c r="E193" s="297"/>
      <c r="F193" s="298"/>
      <c r="G193" s="54"/>
    </row>
    <row r="194" spans="1:7" s="7" customFormat="1" ht="16.5" thickBot="1">
      <c r="A194" s="113"/>
      <c r="B194" s="35"/>
      <c r="C194" s="143"/>
      <c r="D194" s="11"/>
      <c r="E194" s="11"/>
      <c r="F194" s="104"/>
      <c r="G194" s="54"/>
    </row>
    <row r="195" spans="1:7" s="7" customFormat="1" ht="30.75" thickBot="1">
      <c r="A195" s="113"/>
      <c r="B195" s="35"/>
      <c r="C195" s="267" t="s">
        <v>46</v>
      </c>
      <c r="D195" s="11"/>
      <c r="E195" s="11"/>
      <c r="F195" s="104"/>
      <c r="G195" s="54"/>
    </row>
    <row r="196" spans="1:7" s="7" customFormat="1" ht="16.5" thickBot="1">
      <c r="A196" s="113" t="s">
        <v>83</v>
      </c>
      <c r="B196" s="11"/>
      <c r="C196" s="268"/>
      <c r="D196" s="11"/>
      <c r="E196" s="11"/>
      <c r="F196" s="104"/>
      <c r="G196" s="54"/>
    </row>
    <row r="197" spans="1:15" s="26" customFormat="1" ht="15.75">
      <c r="A197" s="113"/>
      <c r="B197" s="11"/>
      <c r="C197" s="29">
        <f>C196</f>
        <v>0</v>
      </c>
      <c r="D197" s="11"/>
      <c r="E197" s="11"/>
      <c r="F197" s="104"/>
      <c r="G197" s="55"/>
      <c r="H197" s="7"/>
      <c r="I197" s="7"/>
      <c r="J197" s="7"/>
      <c r="K197" s="7"/>
      <c r="L197" s="7"/>
      <c r="M197" s="7"/>
      <c r="N197" s="7"/>
      <c r="O197" s="7"/>
    </row>
    <row r="198" spans="1:15" s="26" customFormat="1" ht="15.75">
      <c r="A198" s="113"/>
      <c r="B198" s="11"/>
      <c r="C198" s="11"/>
      <c r="D198" s="11"/>
      <c r="E198" s="11"/>
      <c r="F198" s="104"/>
      <c r="G198" s="55"/>
      <c r="H198" s="7"/>
      <c r="I198" s="7"/>
      <c r="J198" s="7"/>
      <c r="K198" s="7"/>
      <c r="L198" s="7"/>
      <c r="M198" s="7"/>
      <c r="N198" s="7"/>
      <c r="O198" s="7"/>
    </row>
    <row r="199" spans="1:15" s="6" customFormat="1" ht="35.25" customHeight="1">
      <c r="A199" s="299" t="s">
        <v>6</v>
      </c>
      <c r="B199" s="301"/>
      <c r="C199" s="301"/>
      <c r="D199" s="30">
        <f>ROUND(C197*1.8,2)</f>
        <v>0</v>
      </c>
      <c r="E199" s="11"/>
      <c r="F199" s="104"/>
      <c r="G199" s="54"/>
      <c r="K199" s="7"/>
      <c r="L199" s="7"/>
      <c r="M199" s="7"/>
      <c r="N199" s="7"/>
      <c r="O199" s="7"/>
    </row>
    <row r="200" spans="1:15" s="6" customFormat="1" ht="15.75">
      <c r="A200" s="113"/>
      <c r="B200" s="11"/>
      <c r="C200" s="11"/>
      <c r="D200" s="29"/>
      <c r="E200" s="11"/>
      <c r="F200" s="104"/>
      <c r="G200" s="54"/>
      <c r="H200" s="7"/>
      <c r="I200" s="7"/>
      <c r="J200" s="7"/>
      <c r="K200" s="7"/>
      <c r="L200" s="7"/>
      <c r="M200" s="7"/>
      <c r="N200" s="7"/>
      <c r="O200" s="7"/>
    </row>
    <row r="201" spans="1:15" s="6" customFormat="1" ht="15">
      <c r="A201" s="303" t="s">
        <v>9</v>
      </c>
      <c r="B201" s="304"/>
      <c r="C201" s="304"/>
      <c r="D201" s="304"/>
      <c r="E201" s="304"/>
      <c r="F201" s="305"/>
      <c r="H201" s="7"/>
      <c r="I201" s="7"/>
      <c r="J201" s="7"/>
      <c r="L201" s="7"/>
      <c r="M201" s="7"/>
      <c r="N201" s="7"/>
      <c r="O201" s="7"/>
    </row>
    <row r="202" spans="1:6" s="7" customFormat="1" ht="15">
      <c r="A202" s="113"/>
      <c r="B202" s="11" t="s">
        <v>23</v>
      </c>
      <c r="C202" s="11"/>
      <c r="D202" s="11"/>
      <c r="E202" s="11"/>
      <c r="F202" s="104"/>
    </row>
    <row r="203" spans="1:6" s="7" customFormat="1" ht="33.75" customHeight="1">
      <c r="A203" s="269" t="s">
        <v>31</v>
      </c>
      <c r="B203" s="311" t="s">
        <v>168</v>
      </c>
      <c r="C203" s="311"/>
      <c r="D203" s="311"/>
      <c r="E203" s="311"/>
      <c r="F203" s="312"/>
    </row>
    <row r="204" spans="1:6" s="7" customFormat="1" ht="48" customHeight="1">
      <c r="A204" s="269" t="s">
        <v>32</v>
      </c>
      <c r="B204" s="311" t="s">
        <v>169</v>
      </c>
      <c r="C204" s="311"/>
      <c r="D204" s="311"/>
      <c r="E204" s="311"/>
      <c r="F204" s="312"/>
    </row>
    <row r="205" spans="1:6" s="7" customFormat="1" ht="15">
      <c r="A205" s="269"/>
      <c r="B205" s="35"/>
      <c r="C205" s="35"/>
      <c r="D205" s="35"/>
      <c r="E205" s="35"/>
      <c r="F205" s="112"/>
    </row>
    <row r="206" spans="1:6" s="7" customFormat="1" ht="35.25" customHeight="1">
      <c r="A206" s="299" t="s">
        <v>84</v>
      </c>
      <c r="B206" s="311"/>
      <c r="C206" s="311"/>
      <c r="D206" s="311"/>
      <c r="E206" s="311"/>
      <c r="F206" s="312"/>
    </row>
    <row r="207" spans="1:6" s="7" customFormat="1" ht="15.75" thickBot="1">
      <c r="A207" s="113"/>
      <c r="B207" s="11"/>
      <c r="C207" s="11"/>
      <c r="D207" s="11"/>
      <c r="E207" s="11"/>
      <c r="F207" s="104"/>
    </row>
    <row r="208" spans="1:15" ht="45.75" thickBot="1">
      <c r="A208" s="9" t="s">
        <v>33</v>
      </c>
      <c r="B208" s="9" t="s">
        <v>34</v>
      </c>
      <c r="C208" s="9" t="s">
        <v>35</v>
      </c>
      <c r="D208" s="9" t="s">
        <v>170</v>
      </c>
      <c r="E208" s="9" t="s">
        <v>171</v>
      </c>
      <c r="F208" s="9" t="s">
        <v>69</v>
      </c>
      <c r="G208" s="7"/>
      <c r="H208" s="7"/>
      <c r="I208" s="7"/>
      <c r="J208" s="7"/>
      <c r="K208" s="7"/>
      <c r="L208" s="7"/>
      <c r="M208" s="15"/>
      <c r="N208" s="15"/>
      <c r="O208" s="15"/>
    </row>
    <row r="209" spans="1:15" ht="15.75">
      <c r="A209" s="241"/>
      <c r="B209" s="240"/>
      <c r="C209" s="240"/>
      <c r="D209" s="245"/>
      <c r="E209" s="167" t="str">
        <f>IF($D$209&lt;40,"1",IF($D$209&gt;=100,"2","1.5"))</f>
        <v>1</v>
      </c>
      <c r="F209" s="168">
        <f>(B209*E209)+(C209*3)</f>
        <v>0</v>
      </c>
      <c r="G209" s="18"/>
      <c r="M209" s="15"/>
      <c r="N209" s="15"/>
      <c r="O209" s="15"/>
    </row>
    <row r="210" spans="1:15" ht="15.75">
      <c r="A210" s="241"/>
      <c r="B210" s="240"/>
      <c r="C210" s="240"/>
      <c r="D210" s="246"/>
      <c r="E210" s="169" t="str">
        <f>IF($D$210&lt;40,"1",IF($D$210&gt;=100,"2","1.5"))</f>
        <v>1</v>
      </c>
      <c r="F210" s="170">
        <f>(B210*E210)+(C210*3)</f>
        <v>0</v>
      </c>
      <c r="G210" s="18"/>
      <c r="M210" s="15"/>
      <c r="N210" s="15"/>
      <c r="O210" s="15"/>
    </row>
    <row r="211" spans="1:7" ht="15">
      <c r="A211" s="208"/>
      <c r="B211" s="210"/>
      <c r="C211" s="210"/>
      <c r="D211" s="247"/>
      <c r="E211" s="169" t="str">
        <f>IF($D$211&lt;40,"1",IF($D$211&gt;=100,"2","1.5"))</f>
        <v>1</v>
      </c>
      <c r="F211" s="170">
        <f>(B211*E211)+(C211*3)</f>
        <v>0</v>
      </c>
      <c r="G211" s="18"/>
    </row>
    <row r="212" spans="1:7" ht="15">
      <c r="A212" s="208" t="s">
        <v>15</v>
      </c>
      <c r="B212" s="210"/>
      <c r="C212" s="210"/>
      <c r="D212" s="247"/>
      <c r="E212" s="169" t="str">
        <f>IF($D$212&lt;40,"1",IF($D$212&gt;=100,"2","1.5"))</f>
        <v>1</v>
      </c>
      <c r="F212" s="170">
        <f>(B212*E212)+(C212*3)</f>
        <v>0</v>
      </c>
      <c r="G212" s="18"/>
    </row>
    <row r="213" spans="1:7" ht="15.75" thickBot="1">
      <c r="A213" s="236"/>
      <c r="B213" s="211"/>
      <c r="C213" s="211"/>
      <c r="D213" s="248"/>
      <c r="E213" s="171" t="str">
        <f>IF($D$213&lt;40,"1",IF($D$213&gt;=100,"2","1.5"))</f>
        <v>1</v>
      </c>
      <c r="F213" s="172">
        <f>(B213*E213)+(C213*3)</f>
        <v>0</v>
      </c>
      <c r="G213" s="18"/>
    </row>
    <row r="214" spans="1:7" ht="15.75">
      <c r="A214" s="113" t="s">
        <v>36</v>
      </c>
      <c r="B214" s="11"/>
      <c r="C214" s="11"/>
      <c r="D214" s="11"/>
      <c r="E214" s="11"/>
      <c r="F214" s="131">
        <f>F209+F210+F211+F212+F213</f>
        <v>0</v>
      </c>
      <c r="G214" s="18"/>
    </row>
    <row r="215" spans="1:7" ht="15">
      <c r="A215" s="113"/>
      <c r="B215" s="11"/>
      <c r="C215" s="11"/>
      <c r="D215" s="11"/>
      <c r="E215" s="11"/>
      <c r="F215" s="104"/>
      <c r="G215" s="18"/>
    </row>
    <row r="216" spans="1:7" ht="16.5" thickBot="1">
      <c r="A216" s="113"/>
      <c r="B216" s="90" t="s">
        <v>3</v>
      </c>
      <c r="C216" s="11"/>
      <c r="D216" s="11"/>
      <c r="E216" s="11"/>
      <c r="F216" s="104"/>
      <c r="G216" s="18"/>
    </row>
    <row r="217" spans="1:7" ht="15">
      <c r="A217" s="113"/>
      <c r="B217" s="46" t="s">
        <v>18</v>
      </c>
      <c r="C217" s="46">
        <v>100</v>
      </c>
      <c r="D217" s="11"/>
      <c r="E217" s="11"/>
      <c r="F217" s="104"/>
      <c r="G217" s="18"/>
    </row>
    <row r="218" spans="1:12" ht="15.75">
      <c r="A218" s="113"/>
      <c r="B218" s="94" t="s">
        <v>24</v>
      </c>
      <c r="C218" s="94">
        <v>100</v>
      </c>
      <c r="D218" s="35"/>
      <c r="E218" s="35"/>
      <c r="F218" s="104"/>
      <c r="G218" s="18"/>
      <c r="L218" s="56"/>
    </row>
    <row r="219" spans="1:12" ht="30">
      <c r="A219" s="113"/>
      <c r="B219" s="61" t="s">
        <v>25</v>
      </c>
      <c r="C219" s="61">
        <v>90</v>
      </c>
      <c r="D219" s="35"/>
      <c r="E219" s="35"/>
      <c r="F219" s="104"/>
      <c r="G219" s="18"/>
      <c r="L219" s="56"/>
    </row>
    <row r="220" spans="1:12" ht="15">
      <c r="A220" s="113"/>
      <c r="B220" s="61" t="s">
        <v>26</v>
      </c>
      <c r="C220" s="61">
        <v>90</v>
      </c>
      <c r="D220" s="35"/>
      <c r="E220" s="35"/>
      <c r="F220" s="104"/>
      <c r="G220" s="18"/>
      <c r="L220" s="56"/>
    </row>
    <row r="221" spans="1:12" ht="15.75" thickBot="1">
      <c r="A221" s="111"/>
      <c r="B221" s="49" t="s">
        <v>204</v>
      </c>
      <c r="C221" s="49">
        <v>50</v>
      </c>
      <c r="D221" s="35"/>
      <c r="E221" s="35"/>
      <c r="F221" s="104"/>
      <c r="G221" s="18"/>
      <c r="L221" s="56"/>
    </row>
    <row r="222" spans="1:12" ht="15.75">
      <c r="A222" s="111"/>
      <c r="B222" s="23"/>
      <c r="C222" s="23"/>
      <c r="D222" s="35"/>
      <c r="E222" s="35"/>
      <c r="F222" s="104"/>
      <c r="G222" s="18"/>
      <c r="L222" s="56"/>
    </row>
    <row r="223" spans="1:12" ht="16.5" thickBot="1">
      <c r="A223" s="111"/>
      <c r="B223" s="23"/>
      <c r="C223" s="23"/>
      <c r="D223" s="35"/>
      <c r="E223" s="35"/>
      <c r="F223" s="104"/>
      <c r="G223" s="18"/>
      <c r="L223" s="56"/>
    </row>
    <row r="224" spans="1:12" ht="15.75" thickBot="1">
      <c r="A224" s="111"/>
      <c r="B224" s="9" t="s">
        <v>28</v>
      </c>
      <c r="C224" s="27" t="s">
        <v>49</v>
      </c>
      <c r="D224" s="9" t="s">
        <v>120</v>
      </c>
      <c r="E224" s="35"/>
      <c r="F224" s="104"/>
      <c r="G224" s="18"/>
      <c r="L224" s="56"/>
    </row>
    <row r="225" spans="1:7" ht="15">
      <c r="A225" s="113"/>
      <c r="B225" s="36" t="s">
        <v>188</v>
      </c>
      <c r="C225" s="138">
        <v>1</v>
      </c>
      <c r="D225" s="47" t="str">
        <f>IF($F$214&lt;40,"1",0)</f>
        <v>1</v>
      </c>
      <c r="E225" s="11"/>
      <c r="F225" s="104"/>
      <c r="G225" s="18"/>
    </row>
    <row r="226" spans="1:7" ht="15">
      <c r="A226" s="113"/>
      <c r="B226" s="36" t="s">
        <v>189</v>
      </c>
      <c r="C226" s="47">
        <v>2</v>
      </c>
      <c r="D226" s="47" t="b">
        <f>IF($F$214&gt;=41,IF($F$214&lt;=59,"2",0))</f>
        <v>0</v>
      </c>
      <c r="E226" s="11"/>
      <c r="F226" s="104"/>
      <c r="G226" s="18"/>
    </row>
    <row r="227" spans="1:7" ht="15">
      <c r="A227" s="113"/>
      <c r="B227" s="48" t="s">
        <v>190</v>
      </c>
      <c r="C227" s="47">
        <v>3</v>
      </c>
      <c r="D227" s="47" t="b">
        <f>IF($F$214&gt;=60,IF($F$214&lt;=79,"3",0))</f>
        <v>0</v>
      </c>
      <c r="E227" s="11"/>
      <c r="F227" s="104"/>
      <c r="G227" s="18"/>
    </row>
    <row r="228" spans="1:7" ht="15">
      <c r="A228" s="113"/>
      <c r="B228" s="48" t="s">
        <v>191</v>
      </c>
      <c r="C228" s="47">
        <v>4</v>
      </c>
      <c r="D228" s="47" t="b">
        <f>IF($F$214&gt;=80,IF($F$214&lt;=99,"4",0))</f>
        <v>0</v>
      </c>
      <c r="E228" s="11"/>
      <c r="F228" s="104"/>
      <c r="G228" s="18"/>
    </row>
    <row r="229" spans="1:7" ht="15">
      <c r="A229" s="113"/>
      <c r="B229" s="48" t="s">
        <v>192</v>
      </c>
      <c r="C229" s="47">
        <v>5</v>
      </c>
      <c r="D229" s="47" t="b">
        <f>IF($F$214&gt;=100,IF($F$214&lt;=110,"5",0))</f>
        <v>0</v>
      </c>
      <c r="E229" s="11"/>
      <c r="F229" s="104"/>
      <c r="G229" s="18"/>
    </row>
    <row r="230" spans="1:7" ht="15">
      <c r="A230" s="113"/>
      <c r="B230" s="48" t="s">
        <v>193</v>
      </c>
      <c r="C230" s="47">
        <v>6</v>
      </c>
      <c r="D230" s="47" t="b">
        <f>IF($F$214&gt;=111,IF($F$214&lt;=120,"6",0))</f>
        <v>0</v>
      </c>
      <c r="E230" s="11"/>
      <c r="F230" s="104"/>
      <c r="G230" s="18"/>
    </row>
    <row r="231" spans="1:7" ht="15">
      <c r="A231" s="113"/>
      <c r="B231" s="48" t="s">
        <v>194</v>
      </c>
      <c r="C231" s="47">
        <v>7</v>
      </c>
      <c r="D231" s="47" t="b">
        <f>IF($F$214&gt;=121,IF($F$214&lt;=130,"7",0))</f>
        <v>0</v>
      </c>
      <c r="E231" s="11"/>
      <c r="F231" s="104"/>
      <c r="G231" s="18"/>
    </row>
    <row r="232" spans="1:15" ht="15">
      <c r="A232" s="113"/>
      <c r="B232" s="48" t="s">
        <v>195</v>
      </c>
      <c r="C232" s="47">
        <v>8</v>
      </c>
      <c r="D232" s="47" t="b">
        <f>IF($F$214&gt;=131,IF($F$214&lt;=140,"8",0))</f>
        <v>0</v>
      </c>
      <c r="E232" s="11"/>
      <c r="F232" s="104"/>
      <c r="G232" s="18"/>
      <c r="M232" s="12"/>
      <c r="N232" s="12"/>
      <c r="O232" s="12"/>
    </row>
    <row r="233" spans="1:7" ht="15.75" thickBot="1">
      <c r="A233" s="113"/>
      <c r="B233" s="58" t="s">
        <v>196</v>
      </c>
      <c r="C233" s="50">
        <v>9</v>
      </c>
      <c r="D233" s="50">
        <f>IF($F$214&gt;=141,"9",0)</f>
        <v>0</v>
      </c>
      <c r="E233" s="11"/>
      <c r="F233" s="104"/>
      <c r="G233" s="18"/>
    </row>
    <row r="234" spans="1:7" ht="30" customHeight="1">
      <c r="A234" s="293" t="s">
        <v>4</v>
      </c>
      <c r="B234" s="294"/>
      <c r="C234" s="294"/>
      <c r="D234" s="59">
        <f>D225+D226+D227+D228+D229+D230+D231+D232+D233</f>
        <v>1</v>
      </c>
      <c r="E234" s="11"/>
      <c r="F234" s="104"/>
      <c r="G234" s="18"/>
    </row>
    <row r="235" spans="1:7" ht="15">
      <c r="A235" s="113"/>
      <c r="B235" s="11"/>
      <c r="C235" s="11"/>
      <c r="D235" s="11"/>
      <c r="E235" s="11"/>
      <c r="F235" s="104"/>
      <c r="G235" s="18"/>
    </row>
    <row r="236" spans="1:7" ht="15.75">
      <c r="A236" s="109" t="s">
        <v>71</v>
      </c>
      <c r="B236" s="11"/>
      <c r="C236" s="60" t="s">
        <v>53</v>
      </c>
      <c r="D236" s="11"/>
      <c r="E236" s="11"/>
      <c r="F236" s="104"/>
      <c r="G236" s="18"/>
    </row>
    <row r="237" spans="1:7" ht="16.5" thickBot="1">
      <c r="A237" s="113"/>
      <c r="B237" s="13"/>
      <c r="C237" s="52">
        <v>2</v>
      </c>
      <c r="D237" s="11"/>
      <c r="E237" s="11"/>
      <c r="F237" s="104"/>
      <c r="G237" s="18"/>
    </row>
    <row r="238" spans="1:7" ht="16.5" thickBot="1">
      <c r="A238" s="113"/>
      <c r="B238" s="3"/>
      <c r="C238" s="53">
        <f>ROUND((D199+D234)/2,2)</f>
        <v>0.5</v>
      </c>
      <c r="D238" s="11"/>
      <c r="E238" s="11"/>
      <c r="F238" s="133"/>
      <c r="G238" s="18"/>
    </row>
    <row r="239" spans="1:15" ht="15.75" thickBot="1">
      <c r="A239" s="118"/>
      <c r="B239" s="143"/>
      <c r="C239" s="143"/>
      <c r="D239" s="143"/>
      <c r="E239" s="143"/>
      <c r="F239" s="181"/>
      <c r="G239" s="18"/>
      <c r="M239" s="41"/>
      <c r="N239" s="41"/>
      <c r="O239" s="41"/>
    </row>
    <row r="240" spans="1:6" ht="15.75">
      <c r="A240" s="322" t="s">
        <v>217</v>
      </c>
      <c r="B240" s="323"/>
      <c r="C240" s="323"/>
      <c r="D240" s="323"/>
      <c r="E240" s="323"/>
      <c r="F240" s="324"/>
    </row>
    <row r="241" spans="1:7" ht="99.75" customHeight="1">
      <c r="A241" s="293" t="s">
        <v>54</v>
      </c>
      <c r="B241" s="304"/>
      <c r="C241" s="304"/>
      <c r="D241" s="304"/>
      <c r="E241" s="304"/>
      <c r="F241" s="305"/>
      <c r="G241" s="18"/>
    </row>
    <row r="242" spans="1:7" ht="15">
      <c r="A242" s="113"/>
      <c r="B242" s="13"/>
      <c r="C242" s="101"/>
      <c r="D242" s="101"/>
      <c r="E242" s="101"/>
      <c r="F242" s="140"/>
      <c r="G242" s="18"/>
    </row>
    <row r="243" spans="1:7" ht="69.75" customHeight="1">
      <c r="A243" s="293" t="s">
        <v>112</v>
      </c>
      <c r="B243" s="304"/>
      <c r="C243" s="304"/>
      <c r="D243" s="304"/>
      <c r="E243" s="304"/>
      <c r="F243" s="305"/>
      <c r="G243" s="18"/>
    </row>
    <row r="244" spans="1:10" ht="15">
      <c r="A244" s="113"/>
      <c r="B244" s="13"/>
      <c r="C244" s="13"/>
      <c r="D244" s="13"/>
      <c r="E244" s="13"/>
      <c r="F244" s="121"/>
      <c r="G244" s="18"/>
      <c r="H244" s="41"/>
      <c r="I244" s="41"/>
      <c r="J244" s="41"/>
    </row>
    <row r="245" spans="1:7" ht="16.5" thickBot="1">
      <c r="A245" s="114" t="s">
        <v>128</v>
      </c>
      <c r="B245" s="13"/>
      <c r="C245" s="11"/>
      <c r="D245" s="11"/>
      <c r="E245" s="11"/>
      <c r="F245" s="104"/>
      <c r="G245" s="18"/>
    </row>
    <row r="246" spans="1:10" s="41" customFormat="1" ht="45.75" thickBot="1">
      <c r="A246" s="155"/>
      <c r="B246" s="9" t="s">
        <v>44</v>
      </c>
      <c r="C246" s="318" t="s">
        <v>19</v>
      </c>
      <c r="D246" s="319"/>
      <c r="E246" s="52"/>
      <c r="F246" s="124"/>
      <c r="G246" s="148"/>
      <c r="H246" s="18"/>
      <c r="I246" s="18"/>
      <c r="J246" s="18"/>
    </row>
    <row r="247" spans="1:6" ht="15.75">
      <c r="A247" s="113"/>
      <c r="B247" s="249"/>
      <c r="C247" s="308"/>
      <c r="D247" s="309"/>
      <c r="E247" s="59"/>
      <c r="F247" s="104"/>
    </row>
    <row r="248" spans="1:6" ht="15.75">
      <c r="A248" s="113"/>
      <c r="B248" s="249"/>
      <c r="C248" s="306"/>
      <c r="D248" s="307"/>
      <c r="E248" s="59"/>
      <c r="F248" s="104"/>
    </row>
    <row r="249" spans="1:6" ht="15.75">
      <c r="A249" s="113"/>
      <c r="B249" s="249"/>
      <c r="C249" s="306"/>
      <c r="D249" s="307"/>
      <c r="E249" s="59"/>
      <c r="F249" s="104"/>
    </row>
    <row r="250" spans="1:6" ht="15.75">
      <c r="A250" s="113"/>
      <c r="B250" s="249"/>
      <c r="C250" s="306"/>
      <c r="D250" s="307"/>
      <c r="E250" s="59"/>
      <c r="F250" s="104"/>
    </row>
    <row r="251" spans="1:6" ht="15.75">
      <c r="A251" s="113"/>
      <c r="B251" s="249"/>
      <c r="C251" s="306"/>
      <c r="D251" s="307"/>
      <c r="E251" s="59"/>
      <c r="F251" s="104"/>
    </row>
    <row r="252" spans="1:6" ht="15.75">
      <c r="A252" s="113"/>
      <c r="B252" s="249" t="s">
        <v>15</v>
      </c>
      <c r="C252" s="306"/>
      <c r="D252" s="307"/>
      <c r="E252" s="59"/>
      <c r="F252" s="104"/>
    </row>
    <row r="253" spans="1:6" ht="15.75">
      <c r="A253" s="113"/>
      <c r="B253" s="249" t="s">
        <v>15</v>
      </c>
      <c r="C253" s="306"/>
      <c r="D253" s="307"/>
      <c r="E253" s="59"/>
      <c r="F253" s="104"/>
    </row>
    <row r="254" spans="1:6" ht="15.75">
      <c r="A254" s="113"/>
      <c r="B254" s="249"/>
      <c r="C254" s="306"/>
      <c r="D254" s="307"/>
      <c r="E254" s="59"/>
      <c r="F254" s="104"/>
    </row>
    <row r="255" spans="1:6" ht="15.75">
      <c r="A255" s="113"/>
      <c r="B255" s="207"/>
      <c r="C255" s="306"/>
      <c r="D255" s="307"/>
      <c r="E255" s="59"/>
      <c r="F255" s="104"/>
    </row>
    <row r="256" spans="1:6" ht="16.5" thickBot="1">
      <c r="A256" s="113"/>
      <c r="B256" s="211"/>
      <c r="C256" s="325"/>
      <c r="D256" s="326"/>
      <c r="E256" s="59"/>
      <c r="F256" s="104"/>
    </row>
    <row r="257" spans="1:10" ht="15.75">
      <c r="A257" s="113"/>
      <c r="B257" s="62">
        <f>COUNT(B247:B256)</f>
        <v>0</v>
      </c>
      <c r="C257" s="11"/>
      <c r="D257" s="11"/>
      <c r="E257" s="59"/>
      <c r="F257" s="104"/>
      <c r="H257" s="41"/>
      <c r="I257" s="41"/>
      <c r="J257" s="41"/>
    </row>
    <row r="258" spans="1:6" ht="16.5" thickBot="1">
      <c r="A258" s="113"/>
      <c r="B258" s="11"/>
      <c r="C258" s="11"/>
      <c r="D258" s="11"/>
      <c r="E258" s="59"/>
      <c r="F258" s="104"/>
    </row>
    <row r="259" spans="1:10" s="41" customFormat="1" ht="15.75" thickBot="1">
      <c r="A259" s="155"/>
      <c r="B259" s="27"/>
      <c r="C259" s="27" t="s">
        <v>49</v>
      </c>
      <c r="D259" s="9" t="s">
        <v>120</v>
      </c>
      <c r="E259" s="146"/>
      <c r="F259" s="124"/>
      <c r="G259" s="148"/>
      <c r="H259" s="18"/>
      <c r="I259" s="18"/>
      <c r="J259" s="18"/>
    </row>
    <row r="260" spans="1:6" ht="30">
      <c r="A260" s="113"/>
      <c r="B260" s="46" t="s">
        <v>130</v>
      </c>
      <c r="C260" s="46">
        <v>0</v>
      </c>
      <c r="D260" s="144" t="str">
        <f>IF($B$257=0,"0",0)</f>
        <v>0</v>
      </c>
      <c r="E260" s="25"/>
      <c r="F260" s="121"/>
    </row>
    <row r="261" spans="1:6" ht="30">
      <c r="A261" s="113"/>
      <c r="B261" s="61" t="s">
        <v>131</v>
      </c>
      <c r="C261" s="48">
        <v>5</v>
      </c>
      <c r="D261" s="47">
        <f>IF($B$257=1,"5",0)</f>
        <v>0</v>
      </c>
      <c r="E261" s="25"/>
      <c r="F261" s="121"/>
    </row>
    <row r="262" spans="1:6" ht="30">
      <c r="A262" s="113"/>
      <c r="B262" s="61" t="s">
        <v>132</v>
      </c>
      <c r="C262" s="48">
        <v>7</v>
      </c>
      <c r="D262" s="47">
        <f>IF($B$257=2,"7",0)</f>
        <v>0</v>
      </c>
      <c r="E262" s="25"/>
      <c r="F262" s="121"/>
    </row>
    <row r="263" spans="1:6" ht="30">
      <c r="A263" s="113"/>
      <c r="B263" s="61" t="s">
        <v>134</v>
      </c>
      <c r="C263" s="92">
        <v>8</v>
      </c>
      <c r="D263" s="47">
        <f>IF($B$257=3,"8",0)</f>
        <v>0</v>
      </c>
      <c r="E263" s="25"/>
      <c r="F263" s="121"/>
    </row>
    <row r="264" spans="1:6" ht="30.75" thickBot="1">
      <c r="A264" s="113"/>
      <c r="B264" s="49" t="s">
        <v>16</v>
      </c>
      <c r="C264" s="58">
        <v>9</v>
      </c>
      <c r="D264" s="50">
        <f>IF($B$257&gt;=4,"9",0)</f>
        <v>0</v>
      </c>
      <c r="E264" s="25"/>
      <c r="F264" s="121"/>
    </row>
    <row r="265" spans="1:6" ht="15.75">
      <c r="A265" s="113"/>
      <c r="B265" s="11"/>
      <c r="C265" s="11"/>
      <c r="D265" s="29">
        <f>D260+D261+D262+D263+D264</f>
        <v>0</v>
      </c>
      <c r="E265" s="62"/>
      <c r="F265" s="121"/>
    </row>
    <row r="266" spans="1:6" ht="15.75">
      <c r="A266" s="113"/>
      <c r="B266" s="13"/>
      <c r="C266" s="11"/>
      <c r="D266" s="11"/>
      <c r="E266" s="59"/>
      <c r="F266" s="121"/>
    </row>
    <row r="267" spans="1:6" ht="15.75">
      <c r="A267" s="113" t="s">
        <v>38</v>
      </c>
      <c r="B267" s="13"/>
      <c r="C267" s="59"/>
      <c r="D267" s="30">
        <f>D265</f>
        <v>0</v>
      </c>
      <c r="E267" s="59"/>
      <c r="F267" s="121"/>
    </row>
    <row r="268" spans="1:6" ht="15.75">
      <c r="A268" s="113"/>
      <c r="B268" s="13"/>
      <c r="C268" s="11"/>
      <c r="D268" s="11"/>
      <c r="E268" s="59"/>
      <c r="F268" s="121"/>
    </row>
    <row r="269" spans="1:6" ht="91.5" customHeight="1">
      <c r="A269" s="293" t="s">
        <v>201</v>
      </c>
      <c r="B269" s="304"/>
      <c r="C269" s="304"/>
      <c r="D269" s="304"/>
      <c r="E269" s="304"/>
      <c r="F269" s="305"/>
    </row>
    <row r="270" spans="1:10" ht="15.75">
      <c r="A270" s="113"/>
      <c r="B270" s="310"/>
      <c r="C270" s="310"/>
      <c r="D270" s="11"/>
      <c r="E270" s="11"/>
      <c r="F270" s="104"/>
      <c r="H270" s="41"/>
      <c r="I270" s="41"/>
      <c r="J270" s="41"/>
    </row>
    <row r="271" spans="1:6" ht="16.5" thickBot="1">
      <c r="A271" s="114" t="s">
        <v>129</v>
      </c>
      <c r="B271" s="11"/>
      <c r="C271" s="11"/>
      <c r="D271" s="11"/>
      <c r="E271" s="11"/>
      <c r="F271" s="104"/>
    </row>
    <row r="272" spans="1:10" s="41" customFormat="1" ht="45.75" thickBot="1">
      <c r="A272" s="155"/>
      <c r="B272" s="9" t="s">
        <v>44</v>
      </c>
      <c r="C272" s="318" t="s">
        <v>19</v>
      </c>
      <c r="D272" s="319"/>
      <c r="E272" s="52"/>
      <c r="F272" s="124"/>
      <c r="G272" s="148"/>
      <c r="H272" s="18"/>
      <c r="I272" s="18"/>
      <c r="J272" s="18"/>
    </row>
    <row r="273" spans="1:6" ht="15.75">
      <c r="A273" s="113"/>
      <c r="B273" s="251"/>
      <c r="C273" s="308"/>
      <c r="D273" s="309"/>
      <c r="E273" s="59"/>
      <c r="F273" s="121"/>
    </row>
    <row r="274" spans="1:6" ht="15.75">
      <c r="A274" s="113"/>
      <c r="B274" s="251"/>
      <c r="C274" s="306"/>
      <c r="D274" s="307"/>
      <c r="E274" s="59"/>
      <c r="F274" s="121"/>
    </row>
    <row r="275" spans="1:6" ht="15.75">
      <c r="A275" s="113"/>
      <c r="B275" s="251"/>
      <c r="C275" s="306"/>
      <c r="D275" s="307"/>
      <c r="E275" s="59"/>
      <c r="F275" s="121"/>
    </row>
    <row r="276" spans="1:6" ht="15.75">
      <c r="A276" s="113"/>
      <c r="B276" s="251"/>
      <c r="C276" s="306"/>
      <c r="D276" s="307"/>
      <c r="E276" s="59"/>
      <c r="F276" s="121"/>
    </row>
    <row r="277" spans="1:6" ht="15.75">
      <c r="A277" s="113"/>
      <c r="B277" s="251"/>
      <c r="C277" s="306"/>
      <c r="D277" s="307"/>
      <c r="E277" s="59"/>
      <c r="F277" s="121"/>
    </row>
    <row r="278" spans="1:6" ht="15.75">
      <c r="A278" s="113"/>
      <c r="B278" s="252" t="s">
        <v>15</v>
      </c>
      <c r="C278" s="306"/>
      <c r="D278" s="307"/>
      <c r="E278" s="59"/>
      <c r="F278" s="121"/>
    </row>
    <row r="279" spans="1:6" ht="15.75">
      <c r="A279" s="113"/>
      <c r="B279" s="253" t="s">
        <v>15</v>
      </c>
      <c r="C279" s="306"/>
      <c r="D279" s="307"/>
      <c r="E279" s="59"/>
      <c r="F279" s="121"/>
    </row>
    <row r="280" spans="1:6" ht="15.75">
      <c r="A280" s="113"/>
      <c r="B280" s="253"/>
      <c r="C280" s="306"/>
      <c r="D280" s="307"/>
      <c r="E280" s="59"/>
      <c r="F280" s="121"/>
    </row>
    <row r="281" spans="1:6" ht="15.75">
      <c r="A281" s="113"/>
      <c r="B281" s="253"/>
      <c r="C281" s="306"/>
      <c r="D281" s="307"/>
      <c r="E281" s="59"/>
      <c r="F281" s="121"/>
    </row>
    <row r="282" spans="1:6" ht="16.5" thickBot="1">
      <c r="A282" s="113"/>
      <c r="B282" s="254"/>
      <c r="C282" s="325"/>
      <c r="D282" s="326"/>
      <c r="E282" s="59"/>
      <c r="F282" s="121"/>
    </row>
    <row r="283" spans="1:10" ht="16.5" thickBot="1">
      <c r="A283" s="118"/>
      <c r="B283" s="119">
        <f>COUNT(B273:B282)</f>
        <v>0</v>
      </c>
      <c r="C283" s="143"/>
      <c r="D283" s="143"/>
      <c r="E283" s="103"/>
      <c r="F283" s="134"/>
      <c r="H283" s="41"/>
      <c r="I283" s="41"/>
      <c r="J283" s="41"/>
    </row>
    <row r="284" spans="1:6" ht="16.5" thickBot="1">
      <c r="A284" s="147"/>
      <c r="B284" s="145"/>
      <c r="C284" s="145"/>
      <c r="D284" s="145"/>
      <c r="E284" s="178"/>
      <c r="F284" s="179"/>
    </row>
    <row r="285" spans="1:10" s="41" customFormat="1" ht="15.75" thickBot="1">
      <c r="A285" s="155"/>
      <c r="B285" s="27"/>
      <c r="C285" s="27" t="s">
        <v>17</v>
      </c>
      <c r="D285" s="9" t="s">
        <v>120</v>
      </c>
      <c r="E285" s="146"/>
      <c r="F285" s="124"/>
      <c r="G285" s="148"/>
      <c r="H285" s="18"/>
      <c r="I285" s="18"/>
      <c r="J285" s="18"/>
    </row>
    <row r="286" spans="1:6" ht="30">
      <c r="A286" s="113"/>
      <c r="B286" s="46" t="s">
        <v>130</v>
      </c>
      <c r="C286" s="46">
        <v>0</v>
      </c>
      <c r="D286" s="144" t="str">
        <f>IF($B$283=0,"0",0)</f>
        <v>0</v>
      </c>
      <c r="E286" s="25"/>
      <c r="F286" s="104"/>
    </row>
    <row r="287" spans="1:6" ht="30">
      <c r="A287" s="113"/>
      <c r="B287" s="61" t="s">
        <v>131</v>
      </c>
      <c r="C287" s="48">
        <v>5</v>
      </c>
      <c r="D287" s="47">
        <f>IF($B$283=1,"5",0)</f>
        <v>0</v>
      </c>
      <c r="E287" s="25"/>
      <c r="F287" s="104"/>
    </row>
    <row r="288" spans="1:6" ht="30">
      <c r="A288" s="113"/>
      <c r="B288" s="61" t="s">
        <v>132</v>
      </c>
      <c r="C288" s="48">
        <v>7</v>
      </c>
      <c r="D288" s="47">
        <f>IF($B$283=2,"7",0)</f>
        <v>0</v>
      </c>
      <c r="E288" s="25"/>
      <c r="F288" s="104"/>
    </row>
    <row r="289" spans="1:6" ht="30">
      <c r="A289" s="113"/>
      <c r="B289" s="61" t="s">
        <v>134</v>
      </c>
      <c r="C289" s="92">
        <v>8</v>
      </c>
      <c r="D289" s="47">
        <f>IF($B$283=3,"8",0)</f>
        <v>0</v>
      </c>
      <c r="E289" s="25"/>
      <c r="F289" s="104"/>
    </row>
    <row r="290" spans="1:6" ht="30.75" thickBot="1">
      <c r="A290" s="113"/>
      <c r="B290" s="49" t="s">
        <v>16</v>
      </c>
      <c r="C290" s="58">
        <v>9</v>
      </c>
      <c r="D290" s="50">
        <f>IF($B$283&gt;=4,"9",0)</f>
        <v>0</v>
      </c>
      <c r="E290" s="25"/>
      <c r="F290" s="104"/>
    </row>
    <row r="291" spans="1:6" ht="15.75">
      <c r="A291" s="113"/>
      <c r="B291" s="13"/>
      <c r="C291" s="11"/>
      <c r="D291" s="62">
        <f>D286+D287+D288+D289+D290</f>
        <v>0</v>
      </c>
      <c r="E291" s="11"/>
      <c r="F291" s="104"/>
    </row>
    <row r="292" spans="1:6" ht="15.75">
      <c r="A292" s="113"/>
      <c r="B292" s="11"/>
      <c r="C292" s="11"/>
      <c r="D292" s="11"/>
      <c r="E292" s="59"/>
      <c r="F292" s="104"/>
    </row>
    <row r="293" spans="1:6" ht="15.75">
      <c r="A293" s="113" t="s">
        <v>39</v>
      </c>
      <c r="B293" s="11"/>
      <c r="C293" s="11"/>
      <c r="D293" s="29">
        <f>D291</f>
        <v>0</v>
      </c>
      <c r="E293" s="59"/>
      <c r="F293" s="104"/>
    </row>
    <row r="294" spans="1:6" ht="15.75">
      <c r="A294" s="113"/>
      <c r="B294" s="11"/>
      <c r="C294" s="11"/>
      <c r="D294" s="11"/>
      <c r="E294" s="59"/>
      <c r="F294" s="104"/>
    </row>
    <row r="295" spans="1:6" ht="15.75">
      <c r="A295" s="320" t="s">
        <v>72</v>
      </c>
      <c r="B295" s="321"/>
      <c r="C295" s="60" t="s">
        <v>103</v>
      </c>
      <c r="D295" s="11"/>
      <c r="E295" s="59"/>
      <c r="F295" s="104"/>
    </row>
    <row r="296" spans="1:6" ht="15.75">
      <c r="A296" s="113"/>
      <c r="B296" s="11"/>
      <c r="C296" s="52">
        <v>2</v>
      </c>
      <c r="D296" s="11"/>
      <c r="E296" s="59"/>
      <c r="F296" s="104"/>
    </row>
    <row r="297" spans="1:6" ht="16.5" thickBot="1">
      <c r="A297" s="113"/>
      <c r="B297" s="13"/>
      <c r="C297" s="11"/>
      <c r="D297" s="11"/>
      <c r="E297" s="59"/>
      <c r="F297" s="104"/>
    </row>
    <row r="298" spans="1:7" ht="16.5" thickBot="1">
      <c r="A298" s="113"/>
      <c r="B298" s="11"/>
      <c r="C298" s="53">
        <f>(D267+D293)/2</f>
        <v>0</v>
      </c>
      <c r="D298" s="11"/>
      <c r="E298" s="11"/>
      <c r="F298" s="104"/>
      <c r="G298" s="63"/>
    </row>
    <row r="299" spans="1:6" ht="15.75">
      <c r="A299" s="113"/>
      <c r="B299" s="339"/>
      <c r="C299" s="304"/>
      <c r="D299" s="11"/>
      <c r="E299" s="11"/>
      <c r="F299" s="104"/>
    </row>
    <row r="300" spans="1:6" ht="16.5" thickBot="1">
      <c r="A300" s="114" t="s">
        <v>55</v>
      </c>
      <c r="B300" s="11"/>
      <c r="C300" s="11"/>
      <c r="D300" s="11"/>
      <c r="E300" s="11"/>
      <c r="F300" s="104"/>
    </row>
    <row r="301" spans="1:6" ht="16.5" thickBot="1">
      <c r="A301" s="64" t="s">
        <v>73</v>
      </c>
      <c r="B301" s="65" t="s">
        <v>47</v>
      </c>
      <c r="C301" s="64" t="s">
        <v>120</v>
      </c>
      <c r="D301" s="66" t="s">
        <v>74</v>
      </c>
      <c r="E301" s="67" t="s">
        <v>69</v>
      </c>
      <c r="F301" s="104"/>
    </row>
    <row r="302" spans="1:6" ht="16.5" thickBot="1">
      <c r="A302" s="136" t="s">
        <v>108</v>
      </c>
      <c r="B302" s="157">
        <f>C42</f>
        <v>0</v>
      </c>
      <c r="C302" s="158">
        <f>C190</f>
        <v>0</v>
      </c>
      <c r="D302" s="159">
        <f>C302*10</f>
        <v>0</v>
      </c>
      <c r="E302" s="160">
        <f>B302*D302</f>
        <v>0</v>
      </c>
      <c r="F302" s="104"/>
    </row>
    <row r="303" spans="1:6" ht="16.5" thickBot="1">
      <c r="A303" s="136" t="s">
        <v>107</v>
      </c>
      <c r="B303" s="157">
        <f>C44</f>
        <v>0</v>
      </c>
      <c r="C303" s="158">
        <f>C238</f>
        <v>0.5</v>
      </c>
      <c r="D303" s="159">
        <f>C303*10</f>
        <v>5</v>
      </c>
      <c r="E303" s="160">
        <f>B303*D303</f>
        <v>0</v>
      </c>
      <c r="F303" s="104"/>
    </row>
    <row r="304" spans="1:6" ht="16.5" thickBot="1">
      <c r="A304" s="136" t="s">
        <v>109</v>
      </c>
      <c r="B304" s="157">
        <f>C46</f>
        <v>0</v>
      </c>
      <c r="C304" s="158">
        <f>C298</f>
        <v>0</v>
      </c>
      <c r="D304" s="159">
        <f>C304*10</f>
        <v>0</v>
      </c>
      <c r="E304" s="160">
        <f>B304*D304</f>
        <v>0</v>
      </c>
      <c r="F304" s="104"/>
    </row>
    <row r="305" spans="1:6" ht="16.5" thickBot="1">
      <c r="A305" s="137" t="s">
        <v>75</v>
      </c>
      <c r="B305" s="161"/>
      <c r="C305" s="161"/>
      <c r="D305" s="53"/>
      <c r="E305" s="53">
        <f>SUM(E302:E304)</f>
        <v>0</v>
      </c>
      <c r="F305" s="104"/>
    </row>
    <row r="306" spans="1:6" ht="29.25" customHeight="1">
      <c r="A306" s="293" t="s">
        <v>85</v>
      </c>
      <c r="B306" s="297"/>
      <c r="C306" s="297"/>
      <c r="D306" s="297"/>
      <c r="E306" s="297"/>
      <c r="F306" s="298"/>
    </row>
    <row r="307" spans="1:10" ht="15.75" thickBot="1">
      <c r="A307" s="113"/>
      <c r="B307" s="13"/>
      <c r="C307" s="11"/>
      <c r="D307" s="11"/>
      <c r="E307" s="11"/>
      <c r="F307" s="104"/>
      <c r="H307" s="12"/>
      <c r="I307" s="74"/>
      <c r="J307" s="74"/>
    </row>
    <row r="308" spans="1:10" ht="33" customHeight="1">
      <c r="A308" s="340" t="s">
        <v>159</v>
      </c>
      <c r="B308" s="335" t="s">
        <v>59</v>
      </c>
      <c r="C308" s="336"/>
      <c r="D308" s="68" t="s">
        <v>62</v>
      </c>
      <c r="E308" s="69" t="s">
        <v>89</v>
      </c>
      <c r="F308" s="70" t="str">
        <f>IF($E$305&gt;=0,IF($E$305&lt;=1800,"N-",0))</f>
        <v>N-</v>
      </c>
      <c r="H308" s="74"/>
      <c r="I308" s="12"/>
      <c r="J308" s="74"/>
    </row>
    <row r="309" spans="1:10" ht="33" customHeight="1">
      <c r="A309" s="341"/>
      <c r="B309" s="337" t="s">
        <v>60</v>
      </c>
      <c r="C309" s="338"/>
      <c r="D309" s="71" t="s">
        <v>51</v>
      </c>
      <c r="E309" s="72" t="s">
        <v>90</v>
      </c>
      <c r="F309" s="73" t="b">
        <f>IF($E$305&gt;=1801,IF($E$305&lt;=2700,"N",0))</f>
        <v>0</v>
      </c>
      <c r="H309" s="56"/>
      <c r="I309" s="74"/>
      <c r="J309" s="74"/>
    </row>
    <row r="310" spans="1:10" ht="33" customHeight="1" thickBot="1">
      <c r="A310" s="342"/>
      <c r="B310" s="333" t="s">
        <v>61</v>
      </c>
      <c r="C310" s="334"/>
      <c r="D310" s="75" t="s">
        <v>88</v>
      </c>
      <c r="E310" s="76" t="s">
        <v>91</v>
      </c>
      <c r="F310" s="77" t="b">
        <f>IF($E$305&gt;=2701,IF($E$305&lt;=3600,"N+",0))</f>
        <v>0</v>
      </c>
      <c r="H310" s="56"/>
      <c r="I310" s="12"/>
      <c r="J310" s="74"/>
    </row>
    <row r="311" spans="1:10" ht="33" customHeight="1">
      <c r="A311" s="340" t="s">
        <v>160</v>
      </c>
      <c r="B311" s="335" t="s">
        <v>63</v>
      </c>
      <c r="C311" s="336"/>
      <c r="D311" s="78" t="s">
        <v>92</v>
      </c>
      <c r="E311" s="69" t="s">
        <v>95</v>
      </c>
      <c r="F311" s="70" t="b">
        <f>IF($E$305&gt;=3601,IF($E$305&lt;=4500,"S-",0))</f>
        <v>0</v>
      </c>
      <c r="H311" s="12"/>
      <c r="I311" s="12"/>
      <c r="J311" s="74"/>
    </row>
    <row r="312" spans="1:10" ht="33" customHeight="1">
      <c r="A312" s="341"/>
      <c r="B312" s="337" t="s">
        <v>64</v>
      </c>
      <c r="C312" s="338"/>
      <c r="D312" s="71" t="s">
        <v>93</v>
      </c>
      <c r="E312" s="72" t="s">
        <v>96</v>
      </c>
      <c r="F312" s="73" t="b">
        <f>IF($E$305&gt;=4501,IF($E$305&lt;=5400,"S",0))</f>
        <v>0</v>
      </c>
      <c r="H312" s="12"/>
      <c r="I312" s="12"/>
      <c r="J312" s="74"/>
    </row>
    <row r="313" spans="1:10" ht="33" customHeight="1" thickBot="1">
      <c r="A313" s="342"/>
      <c r="B313" s="333" t="s">
        <v>10</v>
      </c>
      <c r="C313" s="334"/>
      <c r="D313" s="75" t="s">
        <v>94</v>
      </c>
      <c r="E313" s="76" t="s">
        <v>97</v>
      </c>
      <c r="F313" s="77" t="b">
        <f>IF($E$305&gt;=5401,IF($E$305&lt;=6300,"S+",0))</f>
        <v>0</v>
      </c>
      <c r="H313" s="74"/>
      <c r="I313" s="74"/>
      <c r="J313" s="74"/>
    </row>
    <row r="314" spans="1:10" ht="33" customHeight="1">
      <c r="A314" s="340" t="s">
        <v>161</v>
      </c>
      <c r="B314" s="335" t="s">
        <v>11</v>
      </c>
      <c r="C314" s="336"/>
      <c r="D314" s="69" t="s">
        <v>98</v>
      </c>
      <c r="E314" s="69" t="s">
        <v>100</v>
      </c>
      <c r="F314" s="70" t="b">
        <f>IF($E$305&gt;=6301,IF($E$305&lt;=7200,"M-",0))</f>
        <v>0</v>
      </c>
      <c r="H314" s="56"/>
      <c r="I314" s="12"/>
      <c r="J314" s="74"/>
    </row>
    <row r="315" spans="1:10" ht="33" customHeight="1">
      <c r="A315" s="341"/>
      <c r="B315" s="337" t="s">
        <v>12</v>
      </c>
      <c r="C315" s="338"/>
      <c r="D315" s="72" t="s">
        <v>99</v>
      </c>
      <c r="E315" s="72" t="s">
        <v>101</v>
      </c>
      <c r="F315" s="73" t="b">
        <f>IF($E$305&gt;=7201,IF($E$305&lt;=8100,"M",0))</f>
        <v>0</v>
      </c>
      <c r="H315" s="56"/>
      <c r="I315" s="56"/>
      <c r="J315" s="74"/>
    </row>
    <row r="316" spans="1:10" ht="33" customHeight="1" thickBot="1">
      <c r="A316" s="342"/>
      <c r="B316" s="333" t="s">
        <v>13</v>
      </c>
      <c r="C316" s="334"/>
      <c r="D316" s="75" t="s">
        <v>14</v>
      </c>
      <c r="E316" s="76" t="s">
        <v>102</v>
      </c>
      <c r="F316" s="77" t="b">
        <f>IF($E$305&gt;=8101,IF($E$305&lt;=20000,"M+",0))</f>
        <v>0</v>
      </c>
      <c r="H316" s="56"/>
      <c r="I316" s="56"/>
      <c r="J316" s="74"/>
    </row>
    <row r="317" spans="1:10" s="12" customFormat="1" ht="15.75" thickBot="1">
      <c r="A317" s="31"/>
      <c r="B317" s="11"/>
      <c r="C317" s="11"/>
      <c r="D317" s="11"/>
      <c r="E317" s="11"/>
      <c r="F317" s="104"/>
      <c r="G317" s="38"/>
      <c r="J317" s="74"/>
    </row>
    <row r="318" spans="1:10" ht="32.25" thickBot="1">
      <c r="A318" s="113"/>
      <c r="B318" s="13"/>
      <c r="C318" s="11"/>
      <c r="D318" s="11"/>
      <c r="E318" s="1"/>
      <c r="F318" s="2" t="s">
        <v>50</v>
      </c>
      <c r="H318" s="12"/>
      <c r="I318" s="74"/>
      <c r="J318" s="74"/>
    </row>
    <row r="319" spans="1:10" ht="15.75">
      <c r="A319" s="113"/>
      <c r="B319" s="13"/>
      <c r="C319" s="11"/>
      <c r="D319" s="11"/>
      <c r="E319" s="1"/>
      <c r="F319" s="141"/>
      <c r="H319" s="12"/>
      <c r="I319" s="74"/>
      <c r="J319" s="74"/>
    </row>
    <row r="320" spans="1:10" ht="63.75" customHeight="1">
      <c r="A320" s="327" t="s">
        <v>232</v>
      </c>
      <c r="B320" s="328"/>
      <c r="C320" s="328"/>
      <c r="D320" s="328"/>
      <c r="E320" s="328"/>
      <c r="F320" s="329"/>
      <c r="H320" s="12"/>
      <c r="I320" s="74"/>
      <c r="J320" s="74"/>
    </row>
    <row r="321" spans="1:10" ht="16.5" thickBot="1">
      <c r="A321" s="162"/>
      <c r="B321" s="163"/>
      <c r="C321" s="163"/>
      <c r="D321" s="163"/>
      <c r="E321" s="163"/>
      <c r="F321" s="164"/>
      <c r="H321" s="12"/>
      <c r="I321" s="74"/>
      <c r="J321" s="74"/>
    </row>
    <row r="322" spans="1:10" ht="71.25" customHeight="1" thickBot="1">
      <c r="A322" s="330"/>
      <c r="B322" s="331"/>
      <c r="C322" s="331"/>
      <c r="D322" s="331"/>
      <c r="E322" s="331"/>
      <c r="F322" s="332"/>
      <c r="H322" s="12"/>
      <c r="I322" s="74"/>
      <c r="J322" s="74"/>
    </row>
    <row r="323" spans="1:10" ht="15">
      <c r="A323" s="191"/>
      <c r="B323" s="192"/>
      <c r="C323" s="192"/>
      <c r="D323" s="192"/>
      <c r="E323" s="192"/>
      <c r="F323" s="193"/>
      <c r="H323" s="74"/>
      <c r="I323" s="12"/>
      <c r="J323" s="74"/>
    </row>
    <row r="324" spans="1:6" ht="30">
      <c r="A324" s="194" t="s">
        <v>203</v>
      </c>
      <c r="B324" s="195"/>
      <c r="C324" s="195"/>
      <c r="D324" s="196" t="s">
        <v>233</v>
      </c>
      <c r="E324" s="197"/>
      <c r="F324" s="198"/>
    </row>
    <row r="325" spans="1:6" ht="15.75" thickBot="1">
      <c r="A325" s="118"/>
      <c r="B325" s="142"/>
      <c r="C325" s="143"/>
      <c r="D325" s="143"/>
      <c r="E325" s="143"/>
      <c r="F325" s="132"/>
    </row>
  </sheetData>
  <sheetProtection password="C64A" sheet="1" objects="1" scenarios="1" selectLockedCells="1"/>
  <mergeCells count="71">
    <mergeCell ref="D33:E35"/>
    <mergeCell ref="A41:C41"/>
    <mergeCell ref="D41:F41"/>
    <mergeCell ref="A295:B295"/>
    <mergeCell ref="C276:D276"/>
    <mergeCell ref="C253:D253"/>
    <mergeCell ref="C275:D275"/>
    <mergeCell ref="C254:D254"/>
    <mergeCell ref="C256:D256"/>
    <mergeCell ref="C274:D274"/>
    <mergeCell ref="B299:C299"/>
    <mergeCell ref="C277:D277"/>
    <mergeCell ref="C278:D278"/>
    <mergeCell ref="C279:D279"/>
    <mergeCell ref="C281:D281"/>
    <mergeCell ref="C282:D282"/>
    <mergeCell ref="C280:D280"/>
    <mergeCell ref="A322:F322"/>
    <mergeCell ref="B313:C313"/>
    <mergeCell ref="B314:C314"/>
    <mergeCell ref="B308:C308"/>
    <mergeCell ref="A320:F320"/>
    <mergeCell ref="A241:F241"/>
    <mergeCell ref="A243:F243"/>
    <mergeCell ref="C247:D247"/>
    <mergeCell ref="A269:F269"/>
    <mergeCell ref="C250:D250"/>
    <mergeCell ref="A102:F102"/>
    <mergeCell ref="A185:F185"/>
    <mergeCell ref="A100:F100"/>
    <mergeCell ref="A39:F39"/>
    <mergeCell ref="A49:F49"/>
    <mergeCell ref="A84:D84"/>
    <mergeCell ref="A1:F1"/>
    <mergeCell ref="A10:F10"/>
    <mergeCell ref="A15:F15"/>
    <mergeCell ref="A11:F11"/>
    <mergeCell ref="A2:F2"/>
    <mergeCell ref="A3:E3"/>
    <mergeCell ref="A193:F193"/>
    <mergeCell ref="A117:F117"/>
    <mergeCell ref="A201:F201"/>
    <mergeCell ref="A119:F119"/>
    <mergeCell ref="A162:F162"/>
    <mergeCell ref="A154:F154"/>
    <mergeCell ref="A186:F186"/>
    <mergeCell ref="C273:D273"/>
    <mergeCell ref="A199:C199"/>
    <mergeCell ref="B203:F203"/>
    <mergeCell ref="B204:F204"/>
    <mergeCell ref="A206:F206"/>
    <mergeCell ref="A240:F240"/>
    <mergeCell ref="C246:D246"/>
    <mergeCell ref="A234:C234"/>
    <mergeCell ref="C248:D248"/>
    <mergeCell ref="C249:D249"/>
    <mergeCell ref="C272:D272"/>
    <mergeCell ref="C255:D255"/>
    <mergeCell ref="C251:D251"/>
    <mergeCell ref="C252:D252"/>
    <mergeCell ref="B270:C270"/>
    <mergeCell ref="A306:F306"/>
    <mergeCell ref="A308:A310"/>
    <mergeCell ref="A311:A313"/>
    <mergeCell ref="A314:A316"/>
    <mergeCell ref="B316:C316"/>
    <mergeCell ref="B309:C309"/>
    <mergeCell ref="B310:C310"/>
    <mergeCell ref="B315:C315"/>
    <mergeCell ref="B311:C311"/>
    <mergeCell ref="B312:C312"/>
  </mergeCells>
  <printOptions horizontalCentered="1"/>
  <pageMargins left="0.5511811023622047" right="0.5511811023622047" top="0.7874015748031497" bottom="0.5905511811023623" header="0.5118110236220472" footer="0.5118110236220472"/>
  <pageSetup orientation="portrait" paperSize="9" scale="72" r:id="rId1"/>
  <headerFooter alignWithMargins="0">
    <oddHeader>&amp;R&amp;P</oddHeader>
  </headerFooter>
  <rowBreaks count="6" manualBreakCount="6">
    <brk id="39" max="5" man="1"/>
    <brk id="98" max="5" man="1"/>
    <brk id="152" max="5" man="1"/>
    <brk id="191" max="5" man="1"/>
    <brk id="239" max="5" man="1"/>
    <brk id="283" max="5" man="1"/>
  </rowBreaks>
</worksheet>
</file>

<file path=xl/worksheets/sheet4.xml><?xml version="1.0" encoding="utf-8"?>
<worksheet xmlns="http://schemas.openxmlformats.org/spreadsheetml/2006/main" xmlns:r="http://schemas.openxmlformats.org/officeDocument/2006/relationships">
  <dimension ref="A1:O325"/>
  <sheetViews>
    <sheetView zoomScale="55" zoomScaleNormal="55" zoomScaleSheetLayoutView="90" workbookViewId="0" topLeftCell="A289">
      <selection activeCell="B273" sqref="B273:D273"/>
    </sheetView>
  </sheetViews>
  <sheetFormatPr defaultColWidth="9.140625" defaultRowHeight="12.75"/>
  <cols>
    <col min="1" max="1" width="18.8515625" style="12" customWidth="1"/>
    <col min="2" max="2" width="18.8515625" style="165" customWidth="1"/>
    <col min="3" max="6" width="18.8515625" style="18" customWidth="1"/>
    <col min="7" max="7" width="13.421875" style="44" customWidth="1"/>
    <col min="8" max="8" width="1.8515625" style="18" bestFit="1" customWidth="1"/>
    <col min="9" max="9" width="2.421875" style="18" bestFit="1" customWidth="1"/>
    <col min="10" max="10" width="5.7109375" style="18" bestFit="1" customWidth="1"/>
    <col min="11" max="11" width="2.421875" style="18" bestFit="1" customWidth="1"/>
    <col min="12" max="12" width="5.7109375" style="18" bestFit="1" customWidth="1"/>
    <col min="13" max="16384" width="9.140625" style="18" customWidth="1"/>
  </cols>
  <sheetData>
    <row r="1" spans="1:7" ht="42.75" customHeight="1">
      <c r="A1" s="276" t="s">
        <v>80</v>
      </c>
      <c r="B1" s="277"/>
      <c r="C1" s="277"/>
      <c r="D1" s="277"/>
      <c r="E1" s="277"/>
      <c r="F1" s="278"/>
      <c r="G1" s="18"/>
    </row>
    <row r="2" spans="1:7" ht="18" customHeight="1">
      <c r="A2" s="313" t="s">
        <v>143</v>
      </c>
      <c r="B2" s="314"/>
      <c r="C2" s="314"/>
      <c r="D2" s="314"/>
      <c r="E2" s="314"/>
      <c r="F2" s="315"/>
      <c r="G2" s="18"/>
    </row>
    <row r="3" spans="1:6" ht="18" customHeight="1">
      <c r="A3" s="313" t="s">
        <v>212</v>
      </c>
      <c r="B3" s="316"/>
      <c r="C3" s="316"/>
      <c r="D3" s="316"/>
      <c r="E3" s="317"/>
      <c r="F3" s="260" t="s">
        <v>211</v>
      </c>
    </row>
    <row r="4" spans="1:6" ht="15.75">
      <c r="A4" s="113"/>
      <c r="B4" s="10"/>
      <c r="C4" s="11"/>
      <c r="D4" s="11"/>
      <c r="E4" s="11"/>
      <c r="F4" s="104"/>
    </row>
    <row r="5" spans="1:6" ht="30" customHeight="1">
      <c r="A5" s="113"/>
      <c r="B5" s="3" t="s">
        <v>40</v>
      </c>
      <c r="C5" s="199"/>
      <c r="D5" s="4" t="s">
        <v>45</v>
      </c>
      <c r="E5" s="5" t="s">
        <v>18</v>
      </c>
      <c r="F5" s="104"/>
    </row>
    <row r="6" spans="1:6" ht="15">
      <c r="A6" s="113"/>
      <c r="B6" s="25"/>
      <c r="C6" s="146"/>
      <c r="D6" s="11" t="s">
        <v>15</v>
      </c>
      <c r="E6" s="11"/>
      <c r="F6" s="104"/>
    </row>
    <row r="7" spans="1:6" ht="30" customHeight="1">
      <c r="A7" s="113"/>
      <c r="B7" s="3" t="s">
        <v>78</v>
      </c>
      <c r="C7" s="201"/>
      <c r="D7" s="11"/>
      <c r="E7" s="11"/>
      <c r="F7" s="104"/>
    </row>
    <row r="8" spans="1:6" ht="15.75">
      <c r="A8" s="113"/>
      <c r="B8" s="10"/>
      <c r="C8" s="11"/>
      <c r="D8" s="11"/>
      <c r="E8" s="11"/>
      <c r="F8" s="104"/>
    </row>
    <row r="9" spans="1:6" ht="15.75">
      <c r="A9" s="109" t="s">
        <v>104</v>
      </c>
      <c r="B9" s="13"/>
      <c r="C9" s="11"/>
      <c r="D9" s="11"/>
      <c r="E9" s="11"/>
      <c r="F9" s="104"/>
    </row>
    <row r="10" spans="1:6" ht="90" customHeight="1">
      <c r="A10" s="299" t="s">
        <v>236</v>
      </c>
      <c r="B10" s="297"/>
      <c r="C10" s="297"/>
      <c r="D10" s="297"/>
      <c r="E10" s="297"/>
      <c r="F10" s="298"/>
    </row>
    <row r="11" spans="1:6" ht="129.75" customHeight="1">
      <c r="A11" s="299" t="s">
        <v>230</v>
      </c>
      <c r="B11" s="300"/>
      <c r="C11" s="300"/>
      <c r="D11" s="300"/>
      <c r="E11" s="300"/>
      <c r="F11" s="280"/>
    </row>
    <row r="12" spans="1:6" ht="15">
      <c r="A12" s="111"/>
      <c r="B12" s="35"/>
      <c r="C12" s="35"/>
      <c r="D12" s="35"/>
      <c r="E12" s="35"/>
      <c r="F12" s="112"/>
    </row>
    <row r="13" spans="1:6" ht="15">
      <c r="A13" s="177" t="s">
        <v>56</v>
      </c>
      <c r="B13" s="11"/>
      <c r="C13" s="11"/>
      <c r="D13" s="11"/>
      <c r="E13" s="11"/>
      <c r="F13" s="104"/>
    </row>
    <row r="14" spans="1:6" ht="15">
      <c r="A14" s="113"/>
      <c r="B14" s="11"/>
      <c r="C14" s="11"/>
      <c r="D14" s="11"/>
      <c r="E14" s="11"/>
      <c r="F14" s="104"/>
    </row>
    <row r="15" spans="1:6" ht="15.75">
      <c r="A15" s="279" t="s">
        <v>76</v>
      </c>
      <c r="B15" s="297"/>
      <c r="C15" s="297"/>
      <c r="D15" s="297"/>
      <c r="E15" s="297"/>
      <c r="F15" s="298"/>
    </row>
    <row r="16" spans="1:6" ht="15.75" thickBot="1">
      <c r="A16" s="113"/>
      <c r="B16" s="13"/>
      <c r="C16" s="11"/>
      <c r="D16" s="11"/>
      <c r="E16" s="11"/>
      <c r="F16" s="104"/>
    </row>
    <row r="17" spans="1:7" s="15" customFormat="1" ht="44.25" customHeight="1" thickBot="1">
      <c r="A17" s="114"/>
      <c r="B17" s="89" t="s">
        <v>2</v>
      </c>
      <c r="C17" s="79" t="s">
        <v>1</v>
      </c>
      <c r="D17" s="79" t="s">
        <v>0</v>
      </c>
      <c r="E17" s="80" t="s">
        <v>105</v>
      </c>
      <c r="F17" s="115"/>
      <c r="G17" s="14"/>
    </row>
    <row r="18" spans="1:6" ht="15.75">
      <c r="A18" s="113"/>
      <c r="B18" s="182" t="s">
        <v>27</v>
      </c>
      <c r="C18" s="86" t="s">
        <v>108</v>
      </c>
      <c r="D18" s="183">
        <v>40</v>
      </c>
      <c r="E18" s="188" t="s">
        <v>200</v>
      </c>
      <c r="F18" s="104"/>
    </row>
    <row r="19" spans="1:6" ht="15.75">
      <c r="A19" s="113"/>
      <c r="B19" s="184"/>
      <c r="C19" s="87" t="s">
        <v>107</v>
      </c>
      <c r="D19" s="185">
        <v>30</v>
      </c>
      <c r="E19" s="189" t="s">
        <v>200</v>
      </c>
      <c r="F19" s="104"/>
    </row>
    <row r="20" spans="1:6" ht="16.5" thickBot="1">
      <c r="A20" s="113"/>
      <c r="B20" s="186"/>
      <c r="C20" s="88" t="s">
        <v>106</v>
      </c>
      <c r="D20" s="187">
        <v>30</v>
      </c>
      <c r="E20" s="190" t="s">
        <v>200</v>
      </c>
      <c r="F20" s="104"/>
    </row>
    <row r="21" spans="1:6" ht="15.75">
      <c r="A21" s="113"/>
      <c r="B21" s="81" t="s">
        <v>52</v>
      </c>
      <c r="C21" s="86" t="s">
        <v>108</v>
      </c>
      <c r="D21" s="16">
        <v>45</v>
      </c>
      <c r="E21" s="20">
        <v>30</v>
      </c>
      <c r="F21" s="104"/>
    </row>
    <row r="22" spans="1:6" ht="15">
      <c r="A22" s="113"/>
      <c r="B22" s="82"/>
      <c r="C22" s="87" t="s">
        <v>107</v>
      </c>
      <c r="D22" s="17">
        <v>45</v>
      </c>
      <c r="E22" s="21">
        <v>60</v>
      </c>
      <c r="F22" s="104"/>
    </row>
    <row r="23" spans="1:6" ht="15.75" thickBot="1">
      <c r="A23" s="113"/>
      <c r="B23" s="83"/>
      <c r="C23" s="88" t="s">
        <v>106</v>
      </c>
      <c r="D23" s="19">
        <v>10</v>
      </c>
      <c r="E23" s="22">
        <v>10</v>
      </c>
      <c r="F23" s="104"/>
    </row>
    <row r="24" spans="1:6" ht="31.5">
      <c r="A24" s="113"/>
      <c r="B24" s="84" t="s">
        <v>79</v>
      </c>
      <c r="C24" s="86" t="s">
        <v>108</v>
      </c>
      <c r="D24" s="16">
        <v>45</v>
      </c>
      <c r="E24" s="20">
        <v>30</v>
      </c>
      <c r="F24" s="104"/>
    </row>
    <row r="25" spans="1:6" ht="15">
      <c r="A25" s="113"/>
      <c r="B25" s="31"/>
      <c r="C25" s="87" t="s">
        <v>107</v>
      </c>
      <c r="D25" s="17">
        <v>45</v>
      </c>
      <c r="E25" s="21">
        <v>60</v>
      </c>
      <c r="F25" s="104"/>
    </row>
    <row r="26" spans="1:6" ht="15.75" thickBot="1">
      <c r="A26" s="113"/>
      <c r="B26" s="83"/>
      <c r="C26" s="88" t="s">
        <v>106</v>
      </c>
      <c r="D26" s="19">
        <v>10</v>
      </c>
      <c r="E26" s="22">
        <v>10</v>
      </c>
      <c r="F26" s="104"/>
    </row>
    <row r="27" spans="1:6" ht="15.75">
      <c r="A27" s="113"/>
      <c r="B27" s="84" t="s">
        <v>205</v>
      </c>
      <c r="C27" s="86" t="s">
        <v>108</v>
      </c>
      <c r="D27" s="16">
        <v>45</v>
      </c>
      <c r="E27" s="20">
        <v>30</v>
      </c>
      <c r="F27" s="104"/>
    </row>
    <row r="28" spans="1:6" ht="15">
      <c r="A28" s="113"/>
      <c r="B28" s="31"/>
      <c r="C28" s="87" t="s">
        <v>107</v>
      </c>
      <c r="D28" s="17">
        <v>45</v>
      </c>
      <c r="E28" s="21">
        <v>60</v>
      </c>
      <c r="F28" s="104"/>
    </row>
    <row r="29" spans="1:6" ht="15.75" thickBot="1">
      <c r="A29" s="113"/>
      <c r="B29" s="83"/>
      <c r="C29" s="88" t="s">
        <v>106</v>
      </c>
      <c r="D29" s="19">
        <v>10</v>
      </c>
      <c r="E29" s="22">
        <v>10</v>
      </c>
      <c r="F29" s="104"/>
    </row>
    <row r="30" spans="1:6" ht="15.75">
      <c r="A30" s="113"/>
      <c r="B30" s="85" t="s">
        <v>110</v>
      </c>
      <c r="C30" s="86" t="s">
        <v>108</v>
      </c>
      <c r="D30" s="16">
        <v>55</v>
      </c>
      <c r="E30" s="20">
        <v>22</v>
      </c>
      <c r="F30" s="104"/>
    </row>
    <row r="31" spans="1:6" ht="15">
      <c r="A31" s="113"/>
      <c r="B31" s="31"/>
      <c r="C31" s="87" t="s">
        <v>107</v>
      </c>
      <c r="D31" s="17">
        <v>37</v>
      </c>
      <c r="E31" s="21">
        <v>70</v>
      </c>
      <c r="F31" s="104"/>
    </row>
    <row r="32" spans="1:6" ht="15.75" thickBot="1">
      <c r="A32" s="113"/>
      <c r="B32" s="83"/>
      <c r="C32" s="88" t="s">
        <v>106</v>
      </c>
      <c r="D32" s="19">
        <v>8</v>
      </c>
      <c r="E32" s="22">
        <v>8</v>
      </c>
      <c r="F32" s="104"/>
    </row>
    <row r="33" spans="1:6" ht="15.75">
      <c r="A33" s="113"/>
      <c r="B33" s="85" t="s">
        <v>206</v>
      </c>
      <c r="C33" s="86" t="s">
        <v>108</v>
      </c>
      <c r="D33" s="287" t="s">
        <v>207</v>
      </c>
      <c r="E33" s="288"/>
      <c r="F33" s="104"/>
    </row>
    <row r="34" spans="1:6" ht="15">
      <c r="A34" s="113"/>
      <c r="B34" s="31"/>
      <c r="C34" s="87" t="s">
        <v>107</v>
      </c>
      <c r="D34" s="289"/>
      <c r="E34" s="290"/>
      <c r="F34" s="104"/>
    </row>
    <row r="35" spans="1:6" ht="15.75" thickBot="1">
      <c r="A35" s="113"/>
      <c r="B35" s="83"/>
      <c r="C35" s="88" t="s">
        <v>106</v>
      </c>
      <c r="D35" s="291"/>
      <c r="E35" s="292"/>
      <c r="F35" s="104"/>
    </row>
    <row r="36" spans="1:6" ht="15">
      <c r="A36" s="113"/>
      <c r="B36" s="13"/>
      <c r="C36" s="11"/>
      <c r="D36" s="11"/>
      <c r="E36" s="11"/>
      <c r="F36" s="104"/>
    </row>
    <row r="37" spans="1:6" ht="15.75">
      <c r="A37" s="109" t="s">
        <v>65</v>
      </c>
      <c r="B37" s="13"/>
      <c r="C37" s="11"/>
      <c r="D37" s="11"/>
      <c r="E37" s="11"/>
      <c r="F37" s="104"/>
    </row>
    <row r="38" spans="1:6" ht="15.75">
      <c r="A38" s="109"/>
      <c r="B38" s="13"/>
      <c r="C38" s="11"/>
      <c r="D38" s="11"/>
      <c r="E38" s="11"/>
      <c r="F38" s="104"/>
    </row>
    <row r="39" spans="1:6" ht="78" customHeight="1" thickBot="1">
      <c r="A39" s="281" t="s">
        <v>231</v>
      </c>
      <c r="B39" s="282"/>
      <c r="C39" s="282"/>
      <c r="D39" s="282"/>
      <c r="E39" s="282"/>
      <c r="F39" s="283"/>
    </row>
    <row r="40" spans="1:6" ht="15.75">
      <c r="A40" s="147"/>
      <c r="B40" s="257"/>
      <c r="C40" s="258"/>
      <c r="D40" s="258"/>
      <c r="E40" s="258"/>
      <c r="F40" s="259"/>
    </row>
    <row r="41" spans="1:6" ht="32.25" customHeight="1">
      <c r="A41" s="293" t="s">
        <v>213</v>
      </c>
      <c r="B41" s="294"/>
      <c r="C41" s="294"/>
      <c r="D41" s="294" t="s">
        <v>229</v>
      </c>
      <c r="E41" s="294"/>
      <c r="F41" s="295"/>
    </row>
    <row r="42" spans="1:6" ht="15.75">
      <c r="A42" s="113"/>
      <c r="B42" s="24" t="s">
        <v>115</v>
      </c>
      <c r="C42" s="202">
        <v>55</v>
      </c>
      <c r="D42" s="24" t="s">
        <v>115</v>
      </c>
      <c r="E42" s="202">
        <v>55</v>
      </c>
      <c r="F42" s="104"/>
    </row>
    <row r="43" spans="1:8" s="12" customFormat="1" ht="15">
      <c r="A43" s="113"/>
      <c r="B43" s="25"/>
      <c r="C43" s="8"/>
      <c r="D43" s="25"/>
      <c r="E43" s="8"/>
      <c r="F43" s="104"/>
      <c r="G43" s="38"/>
      <c r="H43" s="18"/>
    </row>
    <row r="44" spans="1:6" ht="15.75">
      <c r="A44" s="113"/>
      <c r="B44" s="24" t="s">
        <v>114</v>
      </c>
      <c r="C44" s="202">
        <v>37</v>
      </c>
      <c r="D44" s="24" t="s">
        <v>114</v>
      </c>
      <c r="E44" s="202">
        <v>37</v>
      </c>
      <c r="F44" s="104"/>
    </row>
    <row r="45" spans="1:8" s="12" customFormat="1" ht="15">
      <c r="A45" s="113"/>
      <c r="B45" s="25"/>
      <c r="C45" s="8"/>
      <c r="D45" s="25"/>
      <c r="E45" s="8"/>
      <c r="F45" s="104"/>
      <c r="G45" s="38"/>
      <c r="H45" s="18"/>
    </row>
    <row r="46" spans="1:6" ht="15.75">
      <c r="A46" s="113"/>
      <c r="B46" s="24" t="s">
        <v>41</v>
      </c>
      <c r="C46" s="202">
        <v>8</v>
      </c>
      <c r="D46" s="24" t="s">
        <v>41</v>
      </c>
      <c r="E46" s="202">
        <v>8</v>
      </c>
      <c r="F46" s="104"/>
    </row>
    <row r="47" spans="1:6" ht="15">
      <c r="A47" s="113"/>
      <c r="B47" s="13"/>
      <c r="C47" s="11"/>
      <c r="D47" s="11"/>
      <c r="E47" s="11"/>
      <c r="F47" s="104"/>
    </row>
    <row r="48" spans="1:6" ht="15.75">
      <c r="A48" s="114" t="s">
        <v>42</v>
      </c>
      <c r="B48" s="11"/>
      <c r="C48" s="11"/>
      <c r="D48" s="11"/>
      <c r="E48" s="11"/>
      <c r="F48" s="104"/>
    </row>
    <row r="49" spans="1:6" ht="75" customHeight="1">
      <c r="A49" s="284" t="s">
        <v>222</v>
      </c>
      <c r="B49" s="285"/>
      <c r="C49" s="285"/>
      <c r="D49" s="285"/>
      <c r="E49" s="285"/>
      <c r="F49" s="286"/>
    </row>
    <row r="50" spans="1:6" ht="16.5" thickBot="1">
      <c r="A50" s="113"/>
      <c r="B50" s="23"/>
      <c r="C50" s="11"/>
      <c r="D50" s="11"/>
      <c r="E50" s="11"/>
      <c r="F50" s="104"/>
    </row>
    <row r="51" spans="1:7" ht="45.75" thickBot="1">
      <c r="A51" s="27" t="s">
        <v>66</v>
      </c>
      <c r="B51" s="28" t="s">
        <v>116</v>
      </c>
      <c r="C51" s="28" t="s">
        <v>162</v>
      </c>
      <c r="D51" s="28" t="s">
        <v>117</v>
      </c>
      <c r="E51" s="28" t="s">
        <v>118</v>
      </c>
      <c r="F51" s="9" t="s">
        <v>121</v>
      </c>
      <c r="G51" s="18"/>
    </row>
    <row r="52" spans="1:7" ht="15">
      <c r="A52" s="207"/>
      <c r="B52" s="208"/>
      <c r="C52" s="270"/>
      <c r="D52" s="208"/>
      <c r="E52" s="208"/>
      <c r="F52" s="219"/>
      <c r="G52" s="18"/>
    </row>
    <row r="53" spans="1:7" ht="15">
      <c r="A53" s="207"/>
      <c r="B53" s="208"/>
      <c r="C53" s="270"/>
      <c r="D53" s="208"/>
      <c r="E53" s="208"/>
      <c r="F53" s="219"/>
      <c r="G53" s="18"/>
    </row>
    <row r="54" spans="1:7" ht="15">
      <c r="A54" s="271"/>
      <c r="B54" s="272"/>
      <c r="C54" s="273"/>
      <c r="D54" s="273"/>
      <c r="E54" s="273"/>
      <c r="F54" s="273"/>
      <c r="G54" s="18"/>
    </row>
    <row r="55" spans="1:7" ht="15">
      <c r="A55" s="207"/>
      <c r="B55" s="208"/>
      <c r="C55" s="209"/>
      <c r="D55" s="208"/>
      <c r="E55" s="208"/>
      <c r="F55" s="255"/>
      <c r="G55" s="18"/>
    </row>
    <row r="56" spans="1:7" ht="15">
      <c r="A56" s="207"/>
      <c r="B56" s="208"/>
      <c r="C56" s="209"/>
      <c r="D56" s="208"/>
      <c r="E56" s="208"/>
      <c r="F56" s="255"/>
      <c r="G56" s="18"/>
    </row>
    <row r="57" spans="1:7" ht="15">
      <c r="A57" s="207"/>
      <c r="B57" s="208"/>
      <c r="C57" s="209"/>
      <c r="D57" s="208"/>
      <c r="E57" s="208"/>
      <c r="F57" s="255"/>
      <c r="G57" s="18"/>
    </row>
    <row r="58" spans="1:7" ht="15">
      <c r="A58" s="207"/>
      <c r="B58" s="208"/>
      <c r="C58" s="209"/>
      <c r="D58" s="208"/>
      <c r="E58" s="208"/>
      <c r="F58" s="255"/>
      <c r="G58" s="18"/>
    </row>
    <row r="59" spans="1:7" ht="15">
      <c r="A59" s="207"/>
      <c r="B59" s="208"/>
      <c r="C59" s="209"/>
      <c r="D59" s="208"/>
      <c r="E59" s="208"/>
      <c r="F59" s="255"/>
      <c r="G59" s="18"/>
    </row>
    <row r="60" spans="1:7" ht="60" customHeight="1">
      <c r="A60" s="207"/>
      <c r="B60" s="208"/>
      <c r="C60" s="209"/>
      <c r="D60" s="208"/>
      <c r="E60" s="208"/>
      <c r="F60" s="255"/>
      <c r="G60" s="18"/>
    </row>
    <row r="61" spans="1:6" ht="30" customHeight="1">
      <c r="A61" s="207"/>
      <c r="B61" s="208"/>
      <c r="C61" s="209"/>
      <c r="D61" s="208"/>
      <c r="E61" s="208"/>
      <c r="F61" s="255"/>
    </row>
    <row r="62" spans="1:6" ht="45" customHeight="1">
      <c r="A62" s="207"/>
      <c r="B62" s="208"/>
      <c r="C62" s="209"/>
      <c r="D62" s="208"/>
      <c r="E62" s="208"/>
      <c r="F62" s="255"/>
    </row>
    <row r="63" spans="1:6" ht="15">
      <c r="A63" s="207"/>
      <c r="B63" s="208"/>
      <c r="C63" s="209"/>
      <c r="D63" s="208"/>
      <c r="E63" s="208"/>
      <c r="F63" s="255"/>
    </row>
    <row r="64" spans="1:6" ht="15">
      <c r="A64" s="207"/>
      <c r="B64" s="208"/>
      <c r="C64" s="209"/>
      <c r="D64" s="208"/>
      <c r="E64" s="208"/>
      <c r="F64" s="255">
        <v>0</v>
      </c>
    </row>
    <row r="65" spans="1:6" ht="15">
      <c r="A65" s="207"/>
      <c r="B65" s="208"/>
      <c r="C65" s="209"/>
      <c r="D65" s="208"/>
      <c r="E65" s="208"/>
      <c r="F65" s="255">
        <v>0</v>
      </c>
    </row>
    <row r="66" spans="1:6" ht="15">
      <c r="A66" s="207"/>
      <c r="B66" s="208"/>
      <c r="C66" s="209"/>
      <c r="D66" s="208"/>
      <c r="E66" s="208"/>
      <c r="F66" s="255">
        <v>0</v>
      </c>
    </row>
    <row r="67" spans="1:6" ht="15">
      <c r="A67" s="207"/>
      <c r="B67" s="208"/>
      <c r="C67" s="209"/>
      <c r="D67" s="208"/>
      <c r="E67" s="208"/>
      <c r="F67" s="255">
        <v>0</v>
      </c>
    </row>
    <row r="68" spans="1:6" ht="15">
      <c r="A68" s="207"/>
      <c r="B68" s="208"/>
      <c r="C68" s="209"/>
      <c r="D68" s="208"/>
      <c r="E68" s="208"/>
      <c r="F68" s="255">
        <v>0</v>
      </c>
    </row>
    <row r="69" spans="1:6" ht="15">
      <c r="A69" s="207"/>
      <c r="B69" s="208"/>
      <c r="C69" s="209"/>
      <c r="D69" s="208"/>
      <c r="E69" s="208"/>
      <c r="F69" s="255">
        <v>0</v>
      </c>
    </row>
    <row r="70" spans="1:6" ht="15">
      <c r="A70" s="207"/>
      <c r="B70" s="208"/>
      <c r="C70" s="209"/>
      <c r="D70" s="208"/>
      <c r="E70" s="208"/>
      <c r="F70" s="255">
        <v>0</v>
      </c>
    </row>
    <row r="71" spans="1:6" ht="15">
      <c r="A71" s="207"/>
      <c r="B71" s="208"/>
      <c r="C71" s="209"/>
      <c r="D71" s="208"/>
      <c r="E71" s="208"/>
      <c r="F71" s="255">
        <v>0</v>
      </c>
    </row>
    <row r="72" spans="1:6" ht="15">
      <c r="A72" s="207"/>
      <c r="B72" s="208"/>
      <c r="C72" s="209"/>
      <c r="D72" s="208"/>
      <c r="E72" s="208"/>
      <c r="F72" s="255">
        <v>0</v>
      </c>
    </row>
    <row r="73" spans="1:6" ht="15">
      <c r="A73" s="207"/>
      <c r="B73" s="208"/>
      <c r="C73" s="209"/>
      <c r="D73" s="208"/>
      <c r="E73" s="208"/>
      <c r="F73" s="255">
        <v>0</v>
      </c>
    </row>
    <row r="74" spans="1:6" ht="15">
      <c r="A74" s="207"/>
      <c r="B74" s="208"/>
      <c r="C74" s="209"/>
      <c r="D74" s="208"/>
      <c r="E74" s="208"/>
      <c r="F74" s="255">
        <v>0</v>
      </c>
    </row>
    <row r="75" spans="1:6" ht="15">
      <c r="A75" s="207"/>
      <c r="B75" s="208"/>
      <c r="C75" s="209"/>
      <c r="D75" s="208"/>
      <c r="E75" s="208"/>
      <c r="F75" s="255">
        <v>0</v>
      </c>
    </row>
    <row r="76" spans="1:6" ht="15">
      <c r="A76" s="207"/>
      <c r="B76" s="208"/>
      <c r="C76" s="209"/>
      <c r="D76" s="208"/>
      <c r="E76" s="208"/>
      <c r="F76" s="255">
        <v>0</v>
      </c>
    </row>
    <row r="77" spans="1:6" ht="15">
      <c r="A77" s="207"/>
      <c r="B77" s="208"/>
      <c r="C77" s="209"/>
      <c r="D77" s="208"/>
      <c r="E77" s="208"/>
      <c r="F77" s="255">
        <v>0</v>
      </c>
    </row>
    <row r="78" spans="1:6" ht="15">
      <c r="A78" s="207"/>
      <c r="B78" s="208"/>
      <c r="C78" s="209"/>
      <c r="D78" s="208"/>
      <c r="E78" s="208"/>
      <c r="F78" s="255">
        <v>0</v>
      </c>
    </row>
    <row r="79" spans="1:6" ht="15">
      <c r="A79" s="207"/>
      <c r="B79" s="208"/>
      <c r="C79" s="209"/>
      <c r="D79" s="208"/>
      <c r="E79" s="208"/>
      <c r="F79" s="255">
        <v>0</v>
      </c>
    </row>
    <row r="80" spans="1:6" ht="15">
      <c r="A80" s="207"/>
      <c r="B80" s="208"/>
      <c r="C80" s="209"/>
      <c r="D80" s="208"/>
      <c r="E80" s="208"/>
      <c r="F80" s="255">
        <v>0</v>
      </c>
    </row>
    <row r="81" spans="1:6" ht="15.75" thickBot="1">
      <c r="A81" s="211"/>
      <c r="B81" s="212"/>
      <c r="C81" s="213"/>
      <c r="D81" s="212"/>
      <c r="E81" s="212"/>
      <c r="F81" s="256">
        <v>0</v>
      </c>
    </row>
    <row r="82" spans="1:7" s="41" customFormat="1" ht="15.75">
      <c r="A82" s="116">
        <f>COUNT(A52:A81)</f>
        <v>0</v>
      </c>
      <c r="B82" s="146"/>
      <c r="C82" s="146"/>
      <c r="D82" s="146"/>
      <c r="E82" s="146"/>
      <c r="F82" s="117">
        <f>AVERAGE(LARGE(F52:F81,1),LARGE(F52:F81,2),LARGE(F52:F81,3))</f>
        <v>0</v>
      </c>
      <c r="G82" s="148"/>
    </row>
    <row r="83" spans="1:6" ht="15.75">
      <c r="A83" s="113"/>
      <c r="B83" s="11"/>
      <c r="C83" s="29"/>
      <c r="D83" s="11"/>
      <c r="E83" s="11"/>
      <c r="F83" s="149"/>
    </row>
    <row r="84" spans="1:6" ht="30.75" customHeight="1">
      <c r="A84" s="299" t="s">
        <v>223</v>
      </c>
      <c r="B84" s="300"/>
      <c r="C84" s="300"/>
      <c r="D84" s="300"/>
      <c r="E84" s="30">
        <f>ROUND(A82/3,2)</f>
        <v>0</v>
      </c>
      <c r="F84" s="104"/>
    </row>
    <row r="85" spans="1:6" ht="15.75">
      <c r="A85" s="31"/>
      <c r="B85" s="32"/>
      <c r="C85" s="29"/>
      <c r="D85" s="11"/>
      <c r="E85" s="11"/>
      <c r="F85" s="104"/>
    </row>
    <row r="86" spans="1:6" ht="15.75" thickBot="1">
      <c r="A86" s="113" t="s">
        <v>119</v>
      </c>
      <c r="B86" s="11"/>
      <c r="C86" s="11"/>
      <c r="D86" s="11"/>
      <c r="E86" s="11"/>
      <c r="F86" s="104"/>
    </row>
    <row r="87" spans="1:6" ht="15.75" thickBot="1">
      <c r="A87" s="113"/>
      <c r="B87" s="9" t="s">
        <v>48</v>
      </c>
      <c r="C87" s="27" t="s">
        <v>49</v>
      </c>
      <c r="D87" s="9" t="s">
        <v>120</v>
      </c>
      <c r="E87" s="11"/>
      <c r="F87" s="104"/>
    </row>
    <row r="88" spans="1:6" ht="15">
      <c r="A88" s="113"/>
      <c r="B88" s="261" t="s">
        <v>151</v>
      </c>
      <c r="C88" s="144">
        <v>1</v>
      </c>
      <c r="D88" s="144" t="b">
        <f>IF($E$84&gt;=0.21,IF($E$84&lt;=0.4,"1",0))</f>
        <v>0</v>
      </c>
      <c r="E88" s="11"/>
      <c r="F88" s="104"/>
    </row>
    <row r="89" spans="1:6" ht="15">
      <c r="A89" s="113"/>
      <c r="B89" s="262" t="s">
        <v>152</v>
      </c>
      <c r="C89" s="47">
        <v>2</v>
      </c>
      <c r="D89" s="47" t="b">
        <f>IF($E$84&gt;=0.41,IF($E$84&lt;=0.6,"2",0))</f>
        <v>0</v>
      </c>
      <c r="E89" s="11"/>
      <c r="F89" s="104"/>
    </row>
    <row r="90" spans="1:6" ht="15">
      <c r="A90" s="113"/>
      <c r="B90" s="262" t="s">
        <v>153</v>
      </c>
      <c r="C90" s="47">
        <v>3</v>
      </c>
      <c r="D90" s="47" t="b">
        <f>IF($E$84&gt;=0.61,IF($E$84&lt;=0.8,"3",0))</f>
        <v>0</v>
      </c>
      <c r="E90" s="11"/>
      <c r="F90" s="104"/>
    </row>
    <row r="91" spans="1:6" ht="15">
      <c r="A91" s="113"/>
      <c r="B91" s="262" t="s">
        <v>154</v>
      </c>
      <c r="C91" s="47">
        <v>4</v>
      </c>
      <c r="D91" s="47" t="b">
        <f>IF($E$84&gt;=0.81,IF($E$84&lt;=1,"4",0))</f>
        <v>0</v>
      </c>
      <c r="E91" s="11"/>
      <c r="F91" s="104"/>
    </row>
    <row r="92" spans="1:6" ht="15">
      <c r="A92" s="113"/>
      <c r="B92" s="262" t="s">
        <v>155</v>
      </c>
      <c r="C92" s="47">
        <v>5</v>
      </c>
      <c r="D92" s="47" t="b">
        <f>IF($E$84&gt;=1.01,IF($E$84&lt;=1.2,"5",0))</f>
        <v>0</v>
      </c>
      <c r="E92" s="11"/>
      <c r="F92" s="104"/>
    </row>
    <row r="93" spans="1:6" ht="15">
      <c r="A93" s="113"/>
      <c r="B93" s="262" t="s">
        <v>156</v>
      </c>
      <c r="C93" s="47">
        <v>6</v>
      </c>
      <c r="D93" s="47" t="b">
        <f>IF($E$84&gt;=1.21,IF($E$84&lt;=1.4,"6",0))</f>
        <v>0</v>
      </c>
      <c r="E93" s="11"/>
      <c r="F93" s="104"/>
    </row>
    <row r="94" spans="1:6" ht="15">
      <c r="A94" s="113"/>
      <c r="B94" s="262" t="s">
        <v>157</v>
      </c>
      <c r="C94" s="47">
        <v>7</v>
      </c>
      <c r="D94" s="47" t="b">
        <f>IF($E$84&gt;=1.41,IF($E$84&lt;=1.6,"7",0))</f>
        <v>0</v>
      </c>
      <c r="E94" s="11"/>
      <c r="F94" s="104"/>
    </row>
    <row r="95" spans="1:6" ht="15">
      <c r="A95" s="113"/>
      <c r="B95" s="262" t="s">
        <v>210</v>
      </c>
      <c r="C95" s="47">
        <v>8</v>
      </c>
      <c r="D95" s="47" t="b">
        <f>IF($E$84&gt;=1.61,IF($E$84&lt;=1.8,"8",0))</f>
        <v>0</v>
      </c>
      <c r="E95" s="11"/>
      <c r="F95" s="104"/>
    </row>
    <row r="96" spans="1:6" ht="15.75" thickBot="1">
      <c r="A96" s="113"/>
      <c r="B96" s="263" t="s">
        <v>235</v>
      </c>
      <c r="C96" s="50">
        <v>9</v>
      </c>
      <c r="D96" s="50">
        <f>IF($E$84&gt;=1.81,"9",0)</f>
        <v>0</v>
      </c>
      <c r="E96" s="11"/>
      <c r="F96" s="104"/>
    </row>
    <row r="97" spans="1:6" ht="15.75">
      <c r="A97" s="113"/>
      <c r="B97" s="11"/>
      <c r="C97" s="145"/>
      <c r="D97" s="11"/>
      <c r="E97" s="29"/>
      <c r="F97" s="104"/>
    </row>
    <row r="98" spans="1:6" ht="16.5" thickBot="1">
      <c r="A98" s="118" t="s">
        <v>81</v>
      </c>
      <c r="B98" s="143"/>
      <c r="C98" s="119">
        <f>D88+D89+D90+D91+D92+D93+D94+D95+D96</f>
        <v>0</v>
      </c>
      <c r="D98" s="143"/>
      <c r="E98" s="143"/>
      <c r="F98" s="132"/>
    </row>
    <row r="99" spans="1:6" ht="15.75">
      <c r="A99" s="147"/>
      <c r="B99" s="120"/>
      <c r="C99" s="145"/>
      <c r="D99" s="145"/>
      <c r="E99" s="145"/>
      <c r="F99" s="105"/>
    </row>
    <row r="100" spans="1:6" ht="48.75" customHeight="1">
      <c r="A100" s="296" t="s">
        <v>158</v>
      </c>
      <c r="B100" s="297"/>
      <c r="C100" s="297"/>
      <c r="D100" s="297"/>
      <c r="E100" s="297"/>
      <c r="F100" s="298"/>
    </row>
    <row r="101" spans="1:6" ht="15">
      <c r="A101" s="113"/>
      <c r="B101" s="33"/>
      <c r="C101" s="35"/>
      <c r="D101" s="35"/>
      <c r="E101" s="35"/>
      <c r="F101" s="112"/>
    </row>
    <row r="102" spans="1:6" ht="15">
      <c r="A102" s="299" t="s">
        <v>225</v>
      </c>
      <c r="B102" s="297"/>
      <c r="C102" s="297"/>
      <c r="D102" s="297"/>
      <c r="E102" s="297"/>
      <c r="F102" s="298"/>
    </row>
    <row r="103" spans="1:10" s="12" customFormat="1" ht="15.75" thickBot="1">
      <c r="A103" s="113"/>
      <c r="B103" s="34"/>
      <c r="C103" s="34"/>
      <c r="D103" s="34"/>
      <c r="E103" s="35"/>
      <c r="F103" s="112"/>
      <c r="G103" s="38"/>
      <c r="H103" s="150"/>
      <c r="I103" s="151"/>
      <c r="J103" s="106"/>
    </row>
    <row r="104" spans="1:10" ht="15.75" thickBot="1">
      <c r="A104" s="113"/>
      <c r="B104" s="9" t="s">
        <v>121</v>
      </c>
      <c r="C104" s="27" t="s">
        <v>49</v>
      </c>
      <c r="D104" s="9" t="s">
        <v>120</v>
      </c>
      <c r="E104" s="11"/>
      <c r="F104" s="104"/>
      <c r="H104" s="150"/>
      <c r="I104" s="151"/>
      <c r="J104" s="106"/>
    </row>
    <row r="105" spans="1:10" ht="15">
      <c r="A105" s="113"/>
      <c r="B105" s="264" t="s">
        <v>163</v>
      </c>
      <c r="C105" s="144">
        <v>1</v>
      </c>
      <c r="D105" s="144" t="b">
        <f>IF($F$82&gt;=0.269,IF($F$82&lt;=0.437,"1",0))</f>
        <v>0</v>
      </c>
      <c r="E105" s="11"/>
      <c r="F105" s="104"/>
      <c r="H105" s="150"/>
      <c r="I105" s="151"/>
      <c r="J105" s="106"/>
    </row>
    <row r="106" spans="1:10" ht="15">
      <c r="A106" s="113"/>
      <c r="B106" s="265" t="s">
        <v>164</v>
      </c>
      <c r="C106" s="47">
        <v>2</v>
      </c>
      <c r="D106" s="47" t="b">
        <f>IF($F$82&gt;=0.438,IF($F$82&lt;=0.586,"2",0))</f>
        <v>0</v>
      </c>
      <c r="E106" s="11"/>
      <c r="F106" s="104"/>
      <c r="H106" s="150"/>
      <c r="I106" s="151"/>
      <c r="J106" s="106"/>
    </row>
    <row r="107" spans="1:10" ht="15">
      <c r="A107" s="113"/>
      <c r="B107" s="265" t="s">
        <v>140</v>
      </c>
      <c r="C107" s="47">
        <v>3</v>
      </c>
      <c r="D107" s="47" t="b">
        <f>IF($F$82&gt;=0.587,IF($F$82&lt;=0.679,"3",0))</f>
        <v>0</v>
      </c>
      <c r="E107" s="11"/>
      <c r="F107" s="104"/>
      <c r="H107" s="150"/>
      <c r="I107" s="151"/>
      <c r="J107" s="108"/>
    </row>
    <row r="108" spans="1:10" ht="15">
      <c r="A108" s="113"/>
      <c r="B108" s="265" t="s">
        <v>141</v>
      </c>
      <c r="C108" s="48">
        <v>4</v>
      </c>
      <c r="D108" s="47" t="b">
        <f>IF($F$82&gt;=0.68,IF($F$82&lt;=0.857,"4",0))</f>
        <v>0</v>
      </c>
      <c r="E108" s="11"/>
      <c r="F108" s="104"/>
      <c r="G108" s="37"/>
      <c r="H108" s="150"/>
      <c r="I108" s="151"/>
      <c r="J108" s="106"/>
    </row>
    <row r="109" spans="1:10" ht="15">
      <c r="A109" s="113"/>
      <c r="B109" s="265" t="s">
        <v>142</v>
      </c>
      <c r="C109" s="48">
        <v>5</v>
      </c>
      <c r="D109" s="47" t="b">
        <f>IF($F$82&gt;=0.858,IF($F$82&lt;=1,"5",0))</f>
        <v>0</v>
      </c>
      <c r="E109" s="11"/>
      <c r="F109" s="104"/>
      <c r="G109" s="38"/>
      <c r="H109" s="150"/>
      <c r="I109" s="151"/>
      <c r="J109" s="108"/>
    </row>
    <row r="110" spans="1:10" ht="15">
      <c r="A110" s="113"/>
      <c r="B110" s="265" t="s">
        <v>165</v>
      </c>
      <c r="C110" s="48">
        <v>6</v>
      </c>
      <c r="D110" s="47" t="b">
        <f>IF($F$82&gt;=1.001,IF($F$82&lt;=1.222,"6",0))</f>
        <v>0</v>
      </c>
      <c r="E110" s="11"/>
      <c r="F110" s="104"/>
      <c r="G110" s="38"/>
      <c r="H110" s="150"/>
      <c r="I110" s="151"/>
      <c r="J110" s="107"/>
    </row>
    <row r="111" spans="1:10" ht="15">
      <c r="A111" s="113"/>
      <c r="B111" s="265" t="s">
        <v>166</v>
      </c>
      <c r="C111" s="48">
        <v>7</v>
      </c>
      <c r="D111" s="47" t="b">
        <f>IF($F$82&gt;=1.223,IF($F$82&lt;=1.83,"7",0))</f>
        <v>0</v>
      </c>
      <c r="E111" s="11"/>
      <c r="F111" s="104"/>
      <c r="G111" s="38"/>
      <c r="H111" s="150"/>
      <c r="I111" s="151"/>
      <c r="J111" s="106"/>
    </row>
    <row r="112" spans="1:10" ht="15">
      <c r="A112" s="113"/>
      <c r="B112" s="265" t="s">
        <v>209</v>
      </c>
      <c r="C112" s="48">
        <v>8</v>
      </c>
      <c r="D112" s="47" t="b">
        <f>IF($F$82&gt;=1.831,IF($F$82&lt;=2.109,"8",0))</f>
        <v>0</v>
      </c>
      <c r="E112" s="11"/>
      <c r="F112" s="104"/>
      <c r="G112" s="38"/>
      <c r="H112" s="150"/>
      <c r="I112" s="151"/>
      <c r="J112" s="106"/>
    </row>
    <row r="113" spans="1:10" ht="15.75" thickBot="1">
      <c r="A113" s="113"/>
      <c r="B113" s="266" t="s">
        <v>226</v>
      </c>
      <c r="C113" s="50">
        <v>9</v>
      </c>
      <c r="D113" s="50">
        <f>IF($F$82&gt;=2.11,"9",0)</f>
        <v>0</v>
      </c>
      <c r="E113" s="11"/>
      <c r="F113" s="104"/>
      <c r="G113" s="38"/>
      <c r="H113" s="150"/>
      <c r="I113" s="151"/>
      <c r="J113" s="106"/>
    </row>
    <row r="114" spans="1:10" ht="15.75">
      <c r="A114" s="113"/>
      <c r="B114" s="152"/>
      <c r="C114" s="11"/>
      <c r="D114" s="25"/>
      <c r="E114" s="1"/>
      <c r="F114" s="104"/>
      <c r="G114" s="38"/>
      <c r="H114" s="150"/>
      <c r="I114" s="151"/>
      <c r="J114" s="106"/>
    </row>
    <row r="115" spans="1:7" ht="15.75">
      <c r="A115" s="113" t="s">
        <v>113</v>
      </c>
      <c r="B115" s="11"/>
      <c r="C115" s="39">
        <f>D105+D106+D107+D108+D109+D110+D111+D112+D113</f>
        <v>0</v>
      </c>
      <c r="D115" s="35"/>
      <c r="E115" s="11"/>
      <c r="F115" s="115"/>
      <c r="G115" s="38"/>
    </row>
    <row r="116" spans="1:7" ht="15.75">
      <c r="A116" s="113"/>
      <c r="B116" s="11"/>
      <c r="C116" s="40"/>
      <c r="D116" s="35"/>
      <c r="E116" s="11"/>
      <c r="F116" s="115"/>
      <c r="G116" s="38"/>
    </row>
    <row r="117" spans="1:6" ht="67.5" customHeight="1">
      <c r="A117" s="296" t="s">
        <v>8</v>
      </c>
      <c r="B117" s="297"/>
      <c r="C117" s="297"/>
      <c r="D117" s="297"/>
      <c r="E117" s="297"/>
      <c r="F117" s="298"/>
    </row>
    <row r="118" spans="1:6" ht="15">
      <c r="A118" s="113"/>
      <c r="B118" s="33"/>
      <c r="C118" s="35"/>
      <c r="D118" s="35"/>
      <c r="E118" s="35"/>
      <c r="F118" s="112"/>
    </row>
    <row r="119" spans="1:10" ht="93" customHeight="1">
      <c r="A119" s="299" t="s">
        <v>7</v>
      </c>
      <c r="B119" s="297"/>
      <c r="C119" s="297"/>
      <c r="D119" s="297"/>
      <c r="E119" s="297"/>
      <c r="F119" s="298"/>
      <c r="H119" s="12"/>
      <c r="I119" s="12"/>
      <c r="J119" s="12"/>
    </row>
    <row r="120" spans="1:6" ht="15">
      <c r="A120" s="111"/>
      <c r="B120" s="11"/>
      <c r="C120" s="11"/>
      <c r="D120" s="11"/>
      <c r="E120" s="11"/>
      <c r="F120" s="104"/>
    </row>
    <row r="121" spans="1:10" s="12" customFormat="1" ht="15">
      <c r="A121" s="113"/>
      <c r="B121" s="35"/>
      <c r="C121" s="35"/>
      <c r="D121" s="35"/>
      <c r="E121" s="35"/>
      <c r="F121" s="112"/>
      <c r="G121" s="38"/>
      <c r="H121" s="41"/>
      <c r="I121" s="41"/>
      <c r="J121" s="41"/>
    </row>
    <row r="122" spans="1:11" s="44" customFormat="1" ht="15.75" thickBot="1">
      <c r="A122" s="113" t="s">
        <v>67</v>
      </c>
      <c r="B122" s="25"/>
      <c r="C122" s="25"/>
      <c r="D122" s="11"/>
      <c r="E122" s="11"/>
      <c r="F122" s="121"/>
      <c r="H122" s="41"/>
      <c r="I122" s="41"/>
      <c r="J122" s="41"/>
      <c r="K122" s="18"/>
    </row>
    <row r="123" spans="1:10" s="41" customFormat="1" ht="30.75" thickBot="1">
      <c r="A123" s="9" t="s">
        <v>122</v>
      </c>
      <c r="B123" s="28" t="s">
        <v>68</v>
      </c>
      <c r="C123" s="28" t="s">
        <v>86</v>
      </c>
      <c r="D123" s="28" t="s">
        <v>111</v>
      </c>
      <c r="E123" s="27" t="s">
        <v>69</v>
      </c>
      <c r="F123" s="122"/>
      <c r="H123" s="18"/>
      <c r="I123" s="18"/>
      <c r="J123" s="18"/>
    </row>
    <row r="124" spans="1:10" s="41" customFormat="1" ht="15.75" thickBot="1">
      <c r="A124" s="123" t="s">
        <v>20</v>
      </c>
      <c r="B124" s="42"/>
      <c r="C124" s="42"/>
      <c r="D124" s="42"/>
      <c r="E124" s="96"/>
      <c r="F124" s="124"/>
      <c r="H124" s="18"/>
      <c r="I124" s="18"/>
      <c r="J124" s="18"/>
    </row>
    <row r="125" spans="1:7" ht="15">
      <c r="A125" s="204"/>
      <c r="B125" s="215"/>
      <c r="C125" s="216"/>
      <c r="D125" s="216"/>
      <c r="E125" s="98">
        <f>SUM(C125:D125)</f>
        <v>0</v>
      </c>
      <c r="F125" s="104"/>
      <c r="G125" s="18"/>
    </row>
    <row r="126" spans="1:7" ht="15">
      <c r="A126" s="208"/>
      <c r="B126" s="217"/>
      <c r="C126" s="218"/>
      <c r="D126" s="218"/>
      <c r="E126" s="99">
        <f aca="true" t="shared" si="0" ref="E126:E134">SUM(C126:D126)</f>
        <v>0</v>
      </c>
      <c r="F126" s="104"/>
      <c r="G126" s="18"/>
    </row>
    <row r="127" spans="1:7" ht="15">
      <c r="A127" s="208"/>
      <c r="B127" s="219"/>
      <c r="C127" s="218"/>
      <c r="D127" s="218"/>
      <c r="E127" s="99">
        <f t="shared" si="0"/>
        <v>0</v>
      </c>
      <c r="F127" s="104"/>
      <c r="G127" s="18"/>
    </row>
    <row r="128" spans="1:7" ht="15">
      <c r="A128" s="208"/>
      <c r="B128" s="219"/>
      <c r="C128" s="218"/>
      <c r="D128" s="218"/>
      <c r="E128" s="99">
        <f t="shared" si="0"/>
        <v>0</v>
      </c>
      <c r="F128" s="104"/>
      <c r="G128" s="18"/>
    </row>
    <row r="129" spans="1:7" ht="15">
      <c r="A129" s="208"/>
      <c r="B129" s="219"/>
      <c r="C129" s="218"/>
      <c r="D129" s="218"/>
      <c r="E129" s="99">
        <f t="shared" si="0"/>
        <v>0</v>
      </c>
      <c r="F129" s="104"/>
      <c r="G129" s="18"/>
    </row>
    <row r="130" spans="1:7" ht="15">
      <c r="A130" s="208"/>
      <c r="B130" s="219"/>
      <c r="C130" s="218"/>
      <c r="D130" s="218"/>
      <c r="E130" s="99">
        <f t="shared" si="0"/>
        <v>0</v>
      </c>
      <c r="F130" s="104"/>
      <c r="G130" s="18"/>
    </row>
    <row r="131" spans="1:7" ht="15">
      <c r="A131" s="208"/>
      <c r="B131" s="219"/>
      <c r="C131" s="218"/>
      <c r="D131" s="218"/>
      <c r="E131" s="99">
        <f t="shared" si="0"/>
        <v>0</v>
      </c>
      <c r="F131" s="104"/>
      <c r="G131" s="18"/>
    </row>
    <row r="132" spans="1:7" ht="15">
      <c r="A132" s="208"/>
      <c r="B132" s="219"/>
      <c r="C132" s="218"/>
      <c r="D132" s="218"/>
      <c r="E132" s="99">
        <f t="shared" si="0"/>
        <v>0</v>
      </c>
      <c r="F132" s="104"/>
      <c r="G132" s="18"/>
    </row>
    <row r="133" spans="1:7" ht="15">
      <c r="A133" s="208"/>
      <c r="B133" s="219"/>
      <c r="C133" s="218"/>
      <c r="D133" s="218"/>
      <c r="E133" s="99">
        <f t="shared" si="0"/>
        <v>0</v>
      </c>
      <c r="F133" s="104"/>
      <c r="G133" s="18"/>
    </row>
    <row r="134" spans="1:7" ht="15.75" thickBot="1">
      <c r="A134" s="212"/>
      <c r="B134" s="220"/>
      <c r="C134" s="221"/>
      <c r="D134" s="221"/>
      <c r="E134" s="100">
        <f t="shared" si="0"/>
        <v>0</v>
      </c>
      <c r="F134" s="104"/>
      <c r="G134" s="18"/>
    </row>
    <row r="135" spans="1:7" ht="15.75" thickBot="1">
      <c r="A135" s="123" t="s">
        <v>21</v>
      </c>
      <c r="B135" s="42"/>
      <c r="C135" s="43"/>
      <c r="D135" s="43"/>
      <c r="E135" s="97"/>
      <c r="F135" s="104"/>
      <c r="G135" s="18"/>
    </row>
    <row r="136" spans="1:7" ht="15">
      <c r="A136" s="208"/>
      <c r="B136" s="222"/>
      <c r="C136" s="218"/>
      <c r="D136" s="223"/>
      <c r="E136" s="98">
        <f>SUM(C136:D136)</f>
        <v>0</v>
      </c>
      <c r="F136" s="104"/>
      <c r="G136" s="18"/>
    </row>
    <row r="137" spans="1:7" ht="15">
      <c r="A137" s="208"/>
      <c r="B137" s="222"/>
      <c r="C137" s="218"/>
      <c r="D137" s="223"/>
      <c r="E137" s="99">
        <f aca="true" t="shared" si="1" ref="E137:E145">SUM(C137:D137)</f>
        <v>0</v>
      </c>
      <c r="F137" s="104"/>
      <c r="G137" s="18"/>
    </row>
    <row r="138" spans="1:7" ht="15">
      <c r="A138" s="208"/>
      <c r="B138" s="224"/>
      <c r="C138" s="218"/>
      <c r="D138" s="223"/>
      <c r="E138" s="99">
        <f t="shared" si="1"/>
        <v>0</v>
      </c>
      <c r="F138" s="104"/>
      <c r="G138" s="18"/>
    </row>
    <row r="139" spans="1:7" ht="15">
      <c r="A139" s="208"/>
      <c r="B139" s="224"/>
      <c r="C139" s="218"/>
      <c r="D139" s="223"/>
      <c r="E139" s="99">
        <f t="shared" si="1"/>
        <v>0</v>
      </c>
      <c r="F139" s="104"/>
      <c r="G139" s="18"/>
    </row>
    <row r="140" spans="1:7" ht="15">
      <c r="A140" s="208"/>
      <c r="B140" s="224"/>
      <c r="C140" s="218"/>
      <c r="D140" s="223"/>
      <c r="E140" s="99">
        <f t="shared" si="1"/>
        <v>0</v>
      </c>
      <c r="F140" s="104"/>
      <c r="G140" s="18"/>
    </row>
    <row r="141" spans="1:7" ht="15">
      <c r="A141" s="208"/>
      <c r="B141" s="224"/>
      <c r="C141" s="218"/>
      <c r="D141" s="223"/>
      <c r="E141" s="99">
        <f t="shared" si="1"/>
        <v>0</v>
      </c>
      <c r="F141" s="104"/>
      <c r="G141" s="18"/>
    </row>
    <row r="142" spans="1:7" ht="15">
      <c r="A142" s="208"/>
      <c r="B142" s="224"/>
      <c r="C142" s="218"/>
      <c r="D142" s="223"/>
      <c r="E142" s="99">
        <f t="shared" si="1"/>
        <v>0</v>
      </c>
      <c r="F142" s="104"/>
      <c r="G142" s="18"/>
    </row>
    <row r="143" spans="1:7" ht="15">
      <c r="A143" s="208"/>
      <c r="B143" s="224"/>
      <c r="C143" s="218"/>
      <c r="D143" s="223"/>
      <c r="E143" s="99">
        <f t="shared" si="1"/>
        <v>0</v>
      </c>
      <c r="F143" s="104"/>
      <c r="G143" s="18"/>
    </row>
    <row r="144" spans="1:7" ht="15">
      <c r="A144" s="208"/>
      <c r="B144" s="224"/>
      <c r="C144" s="218"/>
      <c r="D144" s="223"/>
      <c r="E144" s="99">
        <f t="shared" si="1"/>
        <v>0</v>
      </c>
      <c r="F144" s="104"/>
      <c r="G144" s="18"/>
    </row>
    <row r="145" spans="1:7" ht="15.75" thickBot="1">
      <c r="A145" s="208"/>
      <c r="B145" s="224"/>
      <c r="C145" s="218"/>
      <c r="D145" s="223"/>
      <c r="E145" s="100">
        <f t="shared" si="1"/>
        <v>0</v>
      </c>
      <c r="F145" s="104"/>
      <c r="G145" s="18"/>
    </row>
    <row r="146" spans="1:7" ht="15.75" thickBot="1">
      <c r="A146" s="102" t="s">
        <v>22</v>
      </c>
      <c r="B146" s="42"/>
      <c r="C146" s="43"/>
      <c r="D146" s="43"/>
      <c r="E146" s="97"/>
      <c r="F146" s="104"/>
      <c r="G146" s="18"/>
    </row>
    <row r="147" spans="1:7" ht="15">
      <c r="A147" s="208"/>
      <c r="B147" s="222"/>
      <c r="C147" s="218"/>
      <c r="D147" s="223"/>
      <c r="E147" s="98">
        <f>SUM(C147:D147)/2</f>
        <v>0</v>
      </c>
      <c r="F147" s="104"/>
      <c r="G147" s="18"/>
    </row>
    <row r="148" spans="1:7" ht="15">
      <c r="A148" s="208"/>
      <c r="B148" s="224"/>
      <c r="C148" s="218"/>
      <c r="D148" s="223"/>
      <c r="E148" s="99">
        <f>SUM(C148:D148)/2</f>
        <v>0</v>
      </c>
      <c r="F148" s="104"/>
      <c r="G148" s="18"/>
    </row>
    <row r="149" spans="1:7" ht="15">
      <c r="A149" s="208"/>
      <c r="B149" s="224"/>
      <c r="C149" s="218"/>
      <c r="D149" s="223"/>
      <c r="E149" s="99">
        <f>SUM(C149:D149)/2</f>
        <v>0</v>
      </c>
      <c r="F149" s="104"/>
      <c r="G149" s="18"/>
    </row>
    <row r="150" spans="1:7" ht="15">
      <c r="A150" s="208"/>
      <c r="B150" s="224"/>
      <c r="C150" s="218"/>
      <c r="D150" s="223"/>
      <c r="E150" s="99">
        <f>SUM(C150:D150)/2</f>
        <v>0</v>
      </c>
      <c r="F150" s="104"/>
      <c r="G150" s="18"/>
    </row>
    <row r="151" spans="1:7" ht="15.75" thickBot="1">
      <c r="A151" s="212"/>
      <c r="B151" s="225"/>
      <c r="C151" s="221"/>
      <c r="D151" s="226"/>
      <c r="E151" s="100">
        <f>SUM(C151:D151)/2</f>
        <v>0</v>
      </c>
      <c r="F151" s="104"/>
      <c r="G151" s="18"/>
    </row>
    <row r="152" spans="1:6" ht="16.5" thickBot="1">
      <c r="A152" s="125"/>
      <c r="B152" s="143"/>
      <c r="C152" s="143"/>
      <c r="D152" s="143"/>
      <c r="E152" s="126">
        <f>SUM(E125:E151)</f>
        <v>0</v>
      </c>
      <c r="F152" s="132"/>
    </row>
    <row r="153" spans="1:6" ht="15.75">
      <c r="A153" s="127"/>
      <c r="B153" s="145"/>
      <c r="C153" s="145"/>
      <c r="D153" s="145"/>
      <c r="E153" s="145"/>
      <c r="F153" s="128"/>
    </row>
    <row r="154" spans="1:6" ht="32.25" customHeight="1" thickBot="1">
      <c r="A154" s="299" t="s">
        <v>197</v>
      </c>
      <c r="B154" s="301"/>
      <c r="C154" s="301"/>
      <c r="D154" s="301"/>
      <c r="E154" s="301"/>
      <c r="F154" s="302"/>
    </row>
    <row r="155" spans="1:6" ht="45.75" thickBot="1">
      <c r="A155" s="113"/>
      <c r="B155" s="110" t="s">
        <v>122</v>
      </c>
      <c r="C155" s="28" t="s">
        <v>123</v>
      </c>
      <c r="D155" s="9" t="s">
        <v>167</v>
      </c>
      <c r="E155" s="11"/>
      <c r="F155" s="129"/>
    </row>
    <row r="156" spans="1:6" ht="15.75">
      <c r="A156" s="113"/>
      <c r="B156" s="227"/>
      <c r="C156" s="228"/>
      <c r="D156" s="229"/>
      <c r="E156" s="11"/>
      <c r="F156" s="129"/>
    </row>
    <row r="157" spans="1:6" ht="15.75">
      <c r="A157" s="113"/>
      <c r="B157" s="230"/>
      <c r="C157" s="231"/>
      <c r="D157" s="232"/>
      <c r="E157" s="11"/>
      <c r="F157" s="129"/>
    </row>
    <row r="158" spans="1:6" ht="15.75">
      <c r="A158" s="113"/>
      <c r="B158" s="230"/>
      <c r="C158" s="231"/>
      <c r="D158" s="232"/>
      <c r="E158" s="11"/>
      <c r="F158" s="129"/>
    </row>
    <row r="159" spans="1:6" ht="15.75">
      <c r="A159" s="113"/>
      <c r="B159" s="233"/>
      <c r="C159" s="234"/>
      <c r="D159" s="235"/>
      <c r="E159" s="11"/>
      <c r="F159" s="129"/>
    </row>
    <row r="160" spans="1:6" ht="16.5" thickBot="1">
      <c r="A160" s="113"/>
      <c r="B160" s="236"/>
      <c r="C160" s="237"/>
      <c r="D160" s="238"/>
      <c r="E160" s="11"/>
      <c r="F160" s="129"/>
    </row>
    <row r="161" spans="1:6" ht="15.75">
      <c r="A161" s="130"/>
      <c r="B161" s="11"/>
      <c r="C161" s="11"/>
      <c r="D161" s="11"/>
      <c r="E161" s="11"/>
      <c r="F161" s="129"/>
    </row>
    <row r="162" spans="1:6" ht="15.75" thickBot="1">
      <c r="A162" s="293" t="s">
        <v>215</v>
      </c>
      <c r="B162" s="294"/>
      <c r="C162" s="294"/>
      <c r="D162" s="294"/>
      <c r="E162" s="294"/>
      <c r="F162" s="295"/>
    </row>
    <row r="163" spans="1:6" ht="60.75" thickBot="1">
      <c r="A163" s="113"/>
      <c r="B163" s="9" t="s">
        <v>66</v>
      </c>
      <c r="C163" s="9" t="s">
        <v>122</v>
      </c>
      <c r="D163" s="28" t="s">
        <v>123</v>
      </c>
      <c r="E163" s="9" t="s">
        <v>137</v>
      </c>
      <c r="F163" s="129"/>
    </row>
    <row r="164" spans="1:6" ht="15.75">
      <c r="A164" s="113"/>
      <c r="B164" s="206"/>
      <c r="C164" s="204"/>
      <c r="D164" s="239"/>
      <c r="E164" s="215"/>
      <c r="F164" s="129"/>
    </row>
    <row r="165" spans="1:6" ht="15.75">
      <c r="A165" s="113"/>
      <c r="B165" s="240"/>
      <c r="C165" s="241"/>
      <c r="D165" s="242"/>
      <c r="E165" s="243"/>
      <c r="F165" s="129"/>
    </row>
    <row r="166" spans="1:6" ht="15.75">
      <c r="A166" s="113"/>
      <c r="B166" s="240"/>
      <c r="C166" s="241"/>
      <c r="D166" s="242"/>
      <c r="E166" s="243"/>
      <c r="F166" s="129"/>
    </row>
    <row r="167" spans="1:6" ht="15.75">
      <c r="A167" s="113"/>
      <c r="B167" s="210"/>
      <c r="C167" s="208"/>
      <c r="D167" s="224"/>
      <c r="E167" s="217"/>
      <c r="F167" s="129"/>
    </row>
    <row r="168" spans="1:6" ht="16.5" thickBot="1">
      <c r="A168" s="113"/>
      <c r="B168" s="214"/>
      <c r="C168" s="212"/>
      <c r="D168" s="225"/>
      <c r="E168" s="244"/>
      <c r="F168" s="129"/>
    </row>
    <row r="169" spans="1:6" ht="15.75">
      <c r="A169" s="113"/>
      <c r="B169" s="153">
        <f>COUNT(B164:B168)</f>
        <v>0</v>
      </c>
      <c r="C169" s="101"/>
      <c r="D169" s="101"/>
      <c r="E169" s="101"/>
      <c r="F169" s="129"/>
    </row>
    <row r="170" spans="1:6" ht="15.75">
      <c r="A170" s="130"/>
      <c r="B170" s="11"/>
      <c r="C170" s="11"/>
      <c r="D170" s="11"/>
      <c r="E170" s="11"/>
      <c r="F170" s="129"/>
    </row>
    <row r="171" spans="1:10" ht="15.75">
      <c r="A171" s="113" t="s">
        <v>58</v>
      </c>
      <c r="B171" s="10"/>
      <c r="C171" s="30">
        <f>E152+B169</f>
        <v>0</v>
      </c>
      <c r="D171" s="11"/>
      <c r="E171" s="11"/>
      <c r="F171" s="104"/>
      <c r="G171" s="154"/>
      <c r="H171" s="41"/>
      <c r="I171" s="41"/>
      <c r="J171" s="41"/>
    </row>
    <row r="172" spans="1:7" ht="16.5" thickBot="1">
      <c r="A172" s="113"/>
      <c r="B172" s="10"/>
      <c r="C172" s="11"/>
      <c r="D172" s="11"/>
      <c r="E172" s="11"/>
      <c r="F172" s="104"/>
      <c r="G172" s="154"/>
    </row>
    <row r="173" spans="1:11" s="148" customFormat="1" ht="15.75" thickBot="1">
      <c r="A173" s="155"/>
      <c r="B173" s="27"/>
      <c r="C173" s="27" t="s">
        <v>49</v>
      </c>
      <c r="D173" s="9" t="s">
        <v>120</v>
      </c>
      <c r="E173" s="146"/>
      <c r="F173" s="124"/>
      <c r="G173" s="45"/>
      <c r="H173" s="18"/>
      <c r="I173" s="18"/>
      <c r="J173" s="18"/>
      <c r="K173" s="41"/>
    </row>
    <row r="174" spans="1:6" ht="15">
      <c r="A174" s="113"/>
      <c r="B174" s="46"/>
      <c r="C174" s="47"/>
      <c r="D174" s="144"/>
      <c r="E174" s="11"/>
      <c r="F174" s="104"/>
    </row>
    <row r="175" spans="1:6" ht="15">
      <c r="A175" s="113"/>
      <c r="B175" s="48" t="s">
        <v>57</v>
      </c>
      <c r="C175" s="47">
        <v>5</v>
      </c>
      <c r="D175" s="57" t="str">
        <f>IF($C$171&gt;=0,IF($C$171&lt;=0.49,"5",0))</f>
        <v>5</v>
      </c>
      <c r="E175" s="11"/>
      <c r="F175" s="104"/>
    </row>
    <row r="176" spans="1:6" ht="15">
      <c r="A176" s="113"/>
      <c r="B176" s="48" t="s">
        <v>139</v>
      </c>
      <c r="C176" s="47">
        <v>6</v>
      </c>
      <c r="D176" s="47" t="b">
        <f>IF($C$171&gt;=0.5,IF($C$171&lt;=0.99,"6",0))</f>
        <v>0</v>
      </c>
      <c r="E176" s="11"/>
      <c r="F176" s="104"/>
    </row>
    <row r="177" spans="1:6" ht="15">
      <c r="A177" s="113"/>
      <c r="B177" s="48" t="s">
        <v>138</v>
      </c>
      <c r="C177" s="47">
        <v>7</v>
      </c>
      <c r="D177" s="47" t="b">
        <f>IF($C$171&gt;=1,IF($C$171&lt;=1.49,"7",0))</f>
        <v>0</v>
      </c>
      <c r="E177" s="11"/>
      <c r="F177" s="104"/>
    </row>
    <row r="178" spans="1:6" ht="15">
      <c r="A178" s="113"/>
      <c r="B178" s="92" t="s">
        <v>126</v>
      </c>
      <c r="C178" s="93">
        <v>8</v>
      </c>
      <c r="D178" s="47" t="b">
        <f>IF($C$171&gt;=1.5,IF($C$171&lt;=1.99,"8",0))</f>
        <v>0</v>
      </c>
      <c r="E178" s="11"/>
      <c r="F178" s="104"/>
    </row>
    <row r="179" spans="1:6" ht="30.75" thickBot="1">
      <c r="A179" s="113"/>
      <c r="B179" s="49" t="s">
        <v>70</v>
      </c>
      <c r="C179" s="50">
        <v>9</v>
      </c>
      <c r="D179" s="50">
        <f>IF($C$171&gt;=2,"9",0)</f>
        <v>0</v>
      </c>
      <c r="E179" s="29"/>
      <c r="F179" s="104"/>
    </row>
    <row r="180" spans="1:6" ht="15.75">
      <c r="A180" s="113"/>
      <c r="B180" s="35"/>
      <c r="C180" s="25"/>
      <c r="D180" s="62">
        <f>D174+D175+D176+D177+D178+D179</f>
        <v>5</v>
      </c>
      <c r="E180" s="29"/>
      <c r="F180" s="104"/>
    </row>
    <row r="181" spans="1:6" ht="15.75">
      <c r="A181" s="113"/>
      <c r="B181" s="11"/>
      <c r="C181" s="11"/>
      <c r="D181" s="29"/>
      <c r="E181" s="11"/>
      <c r="F181" s="104"/>
    </row>
    <row r="182" spans="1:6" ht="15.75">
      <c r="A182" s="113" t="s">
        <v>29</v>
      </c>
      <c r="B182" s="1"/>
      <c r="C182" s="11"/>
      <c r="D182" s="30">
        <f>D180</f>
        <v>5</v>
      </c>
      <c r="E182" s="11"/>
      <c r="F182" s="104"/>
    </row>
    <row r="183" spans="1:6" ht="15.75">
      <c r="A183" s="113"/>
      <c r="B183" s="1"/>
      <c r="C183" s="11"/>
      <c r="D183" s="29"/>
      <c r="E183" s="11"/>
      <c r="F183" s="104"/>
    </row>
    <row r="184" spans="1:6" ht="15.75">
      <c r="A184" s="114" t="s">
        <v>135</v>
      </c>
      <c r="B184" s="1"/>
      <c r="C184" s="11"/>
      <c r="D184" s="29"/>
      <c r="E184" s="11"/>
      <c r="F184" s="104"/>
    </row>
    <row r="185" spans="1:6" ht="15.75">
      <c r="A185" s="293" t="s">
        <v>136</v>
      </c>
      <c r="B185" s="274"/>
      <c r="C185" s="274"/>
      <c r="D185" s="274"/>
      <c r="E185" s="274"/>
      <c r="F185" s="275"/>
    </row>
    <row r="186" spans="1:6" ht="30" customHeight="1">
      <c r="A186" s="293" t="s">
        <v>198</v>
      </c>
      <c r="B186" s="294"/>
      <c r="C186" s="294"/>
      <c r="D186" s="294"/>
      <c r="E186" s="294"/>
      <c r="F186" s="295"/>
    </row>
    <row r="187" spans="1:6" ht="15">
      <c r="A187" s="166"/>
      <c r="B187" s="101"/>
      <c r="C187" s="101"/>
      <c r="D187" s="101"/>
      <c r="E187" s="101"/>
      <c r="F187" s="140"/>
    </row>
    <row r="188" spans="1:6" ht="15.75">
      <c r="A188" s="109" t="s">
        <v>37</v>
      </c>
      <c r="B188" s="11"/>
      <c r="C188" s="51" t="s">
        <v>30</v>
      </c>
      <c r="D188" s="11"/>
      <c r="E188" s="11"/>
      <c r="F188" s="104"/>
    </row>
    <row r="189" spans="1:6" ht="16.5" thickBot="1">
      <c r="A189" s="113"/>
      <c r="B189" s="25"/>
      <c r="C189" s="52">
        <v>3</v>
      </c>
      <c r="D189" s="11"/>
      <c r="E189" s="11"/>
      <c r="F189" s="104"/>
    </row>
    <row r="190" spans="1:6" ht="16.5" thickBot="1">
      <c r="A190" s="113"/>
      <c r="B190" s="156"/>
      <c r="C190" s="53">
        <f>ROUND((C98+C115+D182)/3,2)</f>
        <v>1.67</v>
      </c>
      <c r="D190" s="11"/>
      <c r="E190" s="11"/>
      <c r="F190" s="104"/>
    </row>
    <row r="191" spans="1:6" ht="16.5" thickBot="1">
      <c r="A191" s="118"/>
      <c r="B191" s="180" t="s">
        <v>87</v>
      </c>
      <c r="C191" s="143"/>
      <c r="D191" s="143"/>
      <c r="E191" s="143"/>
      <c r="F191" s="132"/>
    </row>
    <row r="192" spans="1:6" ht="15.75">
      <c r="A192" s="135" t="s">
        <v>82</v>
      </c>
      <c r="B192" s="145"/>
      <c r="C192" s="145"/>
      <c r="D192" s="145"/>
      <c r="E192" s="145"/>
      <c r="F192" s="105"/>
    </row>
    <row r="193" spans="1:7" s="7" customFormat="1" ht="72" customHeight="1">
      <c r="A193" s="296" t="s">
        <v>216</v>
      </c>
      <c r="B193" s="297"/>
      <c r="C193" s="297"/>
      <c r="D193" s="297"/>
      <c r="E193" s="297"/>
      <c r="F193" s="298"/>
      <c r="G193" s="54"/>
    </row>
    <row r="194" spans="1:7" s="7" customFormat="1" ht="16.5" thickBot="1">
      <c r="A194" s="113"/>
      <c r="B194" s="35"/>
      <c r="C194" s="143"/>
      <c r="D194" s="11"/>
      <c r="E194" s="11"/>
      <c r="F194" s="104"/>
      <c r="G194" s="54"/>
    </row>
    <row r="195" spans="1:7" s="7" customFormat="1" ht="30.75" thickBot="1">
      <c r="A195" s="113"/>
      <c r="B195" s="35"/>
      <c r="C195" s="267" t="s">
        <v>46</v>
      </c>
      <c r="D195" s="11"/>
      <c r="E195" s="11"/>
      <c r="F195" s="104"/>
      <c r="G195" s="54"/>
    </row>
    <row r="196" spans="1:7" s="7" customFormat="1" ht="16.5" thickBot="1">
      <c r="A196" s="113" t="s">
        <v>83</v>
      </c>
      <c r="B196" s="11"/>
      <c r="C196" s="268"/>
      <c r="D196" s="11"/>
      <c r="E196" s="11"/>
      <c r="F196" s="104"/>
      <c r="G196" s="54"/>
    </row>
    <row r="197" spans="1:15" s="26" customFormat="1" ht="15.75">
      <c r="A197" s="113"/>
      <c r="B197" s="11"/>
      <c r="C197" s="29">
        <f>C196</f>
        <v>0</v>
      </c>
      <c r="D197" s="11"/>
      <c r="E197" s="11"/>
      <c r="F197" s="104"/>
      <c r="G197" s="55"/>
      <c r="H197" s="7"/>
      <c r="I197" s="7"/>
      <c r="J197" s="7"/>
      <c r="K197" s="7"/>
      <c r="L197" s="7"/>
      <c r="M197" s="7"/>
      <c r="N197" s="7"/>
      <c r="O197" s="7"/>
    </row>
    <row r="198" spans="1:15" s="26" customFormat="1" ht="15.75">
      <c r="A198" s="113"/>
      <c r="B198" s="11"/>
      <c r="C198" s="11"/>
      <c r="D198" s="11"/>
      <c r="E198" s="11"/>
      <c r="F198" s="104"/>
      <c r="G198" s="55"/>
      <c r="H198" s="7"/>
      <c r="I198" s="7"/>
      <c r="J198" s="7"/>
      <c r="K198" s="7"/>
      <c r="L198" s="7"/>
      <c r="M198" s="7"/>
      <c r="N198" s="7"/>
      <c r="O198" s="7"/>
    </row>
    <row r="199" spans="1:15" s="6" customFormat="1" ht="35.25" customHeight="1">
      <c r="A199" s="299" t="s">
        <v>6</v>
      </c>
      <c r="B199" s="301"/>
      <c r="C199" s="301"/>
      <c r="D199" s="30">
        <f>ROUND(C197*1.8,2)</f>
        <v>0</v>
      </c>
      <c r="E199" s="11"/>
      <c r="F199" s="104"/>
      <c r="G199" s="54"/>
      <c r="K199" s="7"/>
      <c r="L199" s="7"/>
      <c r="M199" s="7"/>
      <c r="N199" s="7"/>
      <c r="O199" s="7"/>
    </row>
    <row r="200" spans="1:15" s="6" customFormat="1" ht="15.75">
      <c r="A200" s="113"/>
      <c r="B200" s="11"/>
      <c r="C200" s="11"/>
      <c r="D200" s="29"/>
      <c r="E200" s="11"/>
      <c r="F200" s="104"/>
      <c r="G200" s="54"/>
      <c r="H200" s="7"/>
      <c r="I200" s="7"/>
      <c r="J200" s="7"/>
      <c r="K200" s="7"/>
      <c r="L200" s="7"/>
      <c r="M200" s="7"/>
      <c r="N200" s="7"/>
      <c r="O200" s="7"/>
    </row>
    <row r="201" spans="1:15" s="6" customFormat="1" ht="15">
      <c r="A201" s="303" t="s">
        <v>9</v>
      </c>
      <c r="B201" s="304"/>
      <c r="C201" s="304"/>
      <c r="D201" s="304"/>
      <c r="E201" s="304"/>
      <c r="F201" s="305"/>
      <c r="H201" s="7"/>
      <c r="I201" s="7"/>
      <c r="J201" s="7"/>
      <c r="L201" s="7"/>
      <c r="M201" s="7"/>
      <c r="N201" s="7"/>
      <c r="O201" s="7"/>
    </row>
    <row r="202" spans="1:6" s="7" customFormat="1" ht="15">
      <c r="A202" s="113"/>
      <c r="B202" s="11" t="s">
        <v>23</v>
      </c>
      <c r="C202" s="11"/>
      <c r="D202" s="11"/>
      <c r="E202" s="11"/>
      <c r="F202" s="104"/>
    </row>
    <row r="203" spans="1:6" s="7" customFormat="1" ht="33.75" customHeight="1">
      <c r="A203" s="269" t="s">
        <v>31</v>
      </c>
      <c r="B203" s="311" t="s">
        <v>168</v>
      </c>
      <c r="C203" s="311"/>
      <c r="D203" s="311"/>
      <c r="E203" s="311"/>
      <c r="F203" s="312"/>
    </row>
    <row r="204" spans="1:6" s="7" customFormat="1" ht="48" customHeight="1">
      <c r="A204" s="269" t="s">
        <v>32</v>
      </c>
      <c r="B204" s="311" t="s">
        <v>169</v>
      </c>
      <c r="C204" s="311"/>
      <c r="D204" s="311"/>
      <c r="E204" s="311"/>
      <c r="F204" s="312"/>
    </row>
    <row r="205" spans="1:6" s="7" customFormat="1" ht="15">
      <c r="A205" s="269"/>
      <c r="B205" s="35"/>
      <c r="C205" s="35"/>
      <c r="D205" s="35"/>
      <c r="E205" s="35"/>
      <c r="F205" s="112"/>
    </row>
    <row r="206" spans="1:6" s="7" customFormat="1" ht="35.25" customHeight="1">
      <c r="A206" s="299" t="s">
        <v>84</v>
      </c>
      <c r="B206" s="311"/>
      <c r="C206" s="311"/>
      <c r="D206" s="311"/>
      <c r="E206" s="311"/>
      <c r="F206" s="312"/>
    </row>
    <row r="207" spans="1:6" s="7" customFormat="1" ht="15.75" thickBot="1">
      <c r="A207" s="113"/>
      <c r="B207" s="11"/>
      <c r="C207" s="11"/>
      <c r="D207" s="11"/>
      <c r="E207" s="11"/>
      <c r="F207" s="104"/>
    </row>
    <row r="208" spans="1:15" ht="45.75" thickBot="1">
      <c r="A208" s="9" t="s">
        <v>33</v>
      </c>
      <c r="B208" s="9" t="s">
        <v>34</v>
      </c>
      <c r="C208" s="9" t="s">
        <v>35</v>
      </c>
      <c r="D208" s="9" t="s">
        <v>170</v>
      </c>
      <c r="E208" s="9" t="s">
        <v>171</v>
      </c>
      <c r="F208" s="9" t="s">
        <v>69</v>
      </c>
      <c r="G208" s="7"/>
      <c r="H208" s="7"/>
      <c r="I208" s="7"/>
      <c r="J208" s="7"/>
      <c r="K208" s="7"/>
      <c r="L208" s="7"/>
      <c r="M208" s="15"/>
      <c r="N208" s="15"/>
      <c r="O208" s="15"/>
    </row>
    <row r="209" spans="1:15" ht="15.75">
      <c r="A209" s="241"/>
      <c r="B209" s="240"/>
      <c r="C209" s="240"/>
      <c r="D209" s="245"/>
      <c r="E209" s="167" t="str">
        <f>IF($D$209&lt;40,"1",IF($D$209&gt;=100,"2","1.5"))</f>
        <v>1</v>
      </c>
      <c r="F209" s="168">
        <f>(B209*E209)+(C209*3)</f>
        <v>0</v>
      </c>
      <c r="G209" s="18"/>
      <c r="M209" s="15"/>
      <c r="N209" s="15"/>
      <c r="O209" s="15"/>
    </row>
    <row r="210" spans="1:15" ht="15.75">
      <c r="A210" s="241"/>
      <c r="B210" s="240"/>
      <c r="C210" s="240"/>
      <c r="D210" s="246"/>
      <c r="E210" s="169" t="str">
        <f>IF($D$210&lt;40,"1",IF($D$210&gt;=100,"2","1.5"))</f>
        <v>1</v>
      </c>
      <c r="F210" s="170">
        <f>(B210*E210)+(C210*3)</f>
        <v>0</v>
      </c>
      <c r="G210" s="18"/>
      <c r="M210" s="15"/>
      <c r="N210" s="15"/>
      <c r="O210" s="15"/>
    </row>
    <row r="211" spans="1:7" ht="15">
      <c r="A211" s="208"/>
      <c r="B211" s="210"/>
      <c r="C211" s="210"/>
      <c r="D211" s="247"/>
      <c r="E211" s="169" t="str">
        <f>IF($D$211&lt;40,"1",IF($D$211&gt;=100,"2","1.5"))</f>
        <v>1</v>
      </c>
      <c r="F211" s="170">
        <f>(B211*E211)+(C211*3)</f>
        <v>0</v>
      </c>
      <c r="G211" s="18"/>
    </row>
    <row r="212" spans="1:7" ht="15">
      <c r="A212" s="208"/>
      <c r="B212" s="210"/>
      <c r="C212" s="210"/>
      <c r="D212" s="247"/>
      <c r="E212" s="169" t="str">
        <f>IF($D$212&lt;40,"1",IF($D$212&gt;=100,"2","1.5"))</f>
        <v>1</v>
      </c>
      <c r="F212" s="170">
        <f>(B212*E212)+(C212*3)</f>
        <v>0</v>
      </c>
      <c r="G212" s="18"/>
    </row>
    <row r="213" spans="1:7" ht="15.75" thickBot="1">
      <c r="A213" s="236"/>
      <c r="B213" s="211"/>
      <c r="C213" s="211"/>
      <c r="D213" s="248"/>
      <c r="E213" s="171" t="str">
        <f>IF($D$213&lt;40,"1",IF($D$213&gt;=100,"2","1.5"))</f>
        <v>1</v>
      </c>
      <c r="F213" s="172">
        <f>(B213*E213)+(C213*3)</f>
        <v>0</v>
      </c>
      <c r="G213" s="18"/>
    </row>
    <row r="214" spans="1:7" ht="15.75">
      <c r="A214" s="113" t="s">
        <v>36</v>
      </c>
      <c r="B214" s="11"/>
      <c r="C214" s="11"/>
      <c r="D214" s="11"/>
      <c r="E214" s="11"/>
      <c r="F214" s="131">
        <f>F209+F210+F211+F212+F213</f>
        <v>0</v>
      </c>
      <c r="G214" s="18"/>
    </row>
    <row r="215" spans="1:7" ht="15">
      <c r="A215" s="113"/>
      <c r="B215" s="11"/>
      <c r="C215" s="11"/>
      <c r="D215" s="11"/>
      <c r="E215" s="11"/>
      <c r="F215" s="104"/>
      <c r="G215" s="18"/>
    </row>
    <row r="216" spans="1:7" ht="16.5" thickBot="1">
      <c r="A216" s="113"/>
      <c r="B216" s="90" t="s">
        <v>3</v>
      </c>
      <c r="C216" s="11"/>
      <c r="D216" s="11"/>
      <c r="E216" s="11"/>
      <c r="F216" s="104"/>
      <c r="G216" s="18"/>
    </row>
    <row r="217" spans="1:7" ht="15.75">
      <c r="A217" s="113"/>
      <c r="B217" s="91" t="s">
        <v>18</v>
      </c>
      <c r="C217" s="91">
        <v>100</v>
      </c>
      <c r="D217" s="11"/>
      <c r="E217" s="11"/>
      <c r="F217" s="104"/>
      <c r="G217" s="18"/>
    </row>
    <row r="218" spans="1:12" ht="15">
      <c r="A218" s="113"/>
      <c r="B218" s="61" t="s">
        <v>24</v>
      </c>
      <c r="C218" s="61">
        <v>100</v>
      </c>
      <c r="D218" s="35"/>
      <c r="E218" s="35"/>
      <c r="F218" s="104"/>
      <c r="G218" s="18"/>
      <c r="L218" s="56"/>
    </row>
    <row r="219" spans="1:12" ht="30">
      <c r="A219" s="113"/>
      <c r="B219" s="61" t="s">
        <v>25</v>
      </c>
      <c r="C219" s="61">
        <v>90</v>
      </c>
      <c r="D219" s="35"/>
      <c r="E219" s="35"/>
      <c r="F219" s="104"/>
      <c r="G219" s="18"/>
      <c r="L219" s="56"/>
    </row>
    <row r="220" spans="1:12" ht="15">
      <c r="A220" s="113"/>
      <c r="B220" s="61" t="s">
        <v>26</v>
      </c>
      <c r="C220" s="61">
        <v>90</v>
      </c>
      <c r="D220" s="35"/>
      <c r="E220" s="35"/>
      <c r="F220" s="104"/>
      <c r="G220" s="18"/>
      <c r="L220" s="56"/>
    </row>
    <row r="221" spans="1:12" ht="15.75" thickBot="1">
      <c r="A221" s="111"/>
      <c r="B221" s="49" t="s">
        <v>204</v>
      </c>
      <c r="C221" s="49">
        <v>50</v>
      </c>
      <c r="D221" s="35"/>
      <c r="E221" s="35"/>
      <c r="F221" s="104"/>
      <c r="G221" s="18"/>
      <c r="L221" s="56"/>
    </row>
    <row r="222" spans="1:12" ht="15.75">
      <c r="A222" s="111"/>
      <c r="B222" s="23"/>
      <c r="C222" s="23"/>
      <c r="D222" s="35"/>
      <c r="E222" s="35"/>
      <c r="F222" s="104"/>
      <c r="G222" s="18"/>
      <c r="L222" s="56"/>
    </row>
    <row r="223" spans="1:12" ht="16.5" thickBot="1">
      <c r="A223" s="111"/>
      <c r="B223" s="23"/>
      <c r="C223" s="23"/>
      <c r="D223" s="35"/>
      <c r="E223" s="35"/>
      <c r="F223" s="104"/>
      <c r="G223" s="18"/>
      <c r="L223" s="56"/>
    </row>
    <row r="224" spans="1:12" ht="15.75" thickBot="1">
      <c r="A224" s="111"/>
      <c r="B224" s="9" t="s">
        <v>28</v>
      </c>
      <c r="C224" s="27" t="s">
        <v>49</v>
      </c>
      <c r="D224" s="9" t="s">
        <v>120</v>
      </c>
      <c r="E224" s="35"/>
      <c r="F224" s="104"/>
      <c r="G224" s="18"/>
      <c r="L224" s="56"/>
    </row>
    <row r="225" spans="1:7" ht="15">
      <c r="A225" s="113"/>
      <c r="B225" s="36" t="s">
        <v>188</v>
      </c>
      <c r="C225" s="138">
        <v>1</v>
      </c>
      <c r="D225" s="47" t="str">
        <f>IF($F$214&lt;40,"1",0)</f>
        <v>1</v>
      </c>
      <c r="E225" s="11"/>
      <c r="F225" s="104"/>
      <c r="G225" s="18"/>
    </row>
    <row r="226" spans="1:7" ht="15">
      <c r="A226" s="113"/>
      <c r="B226" s="36" t="s">
        <v>189</v>
      </c>
      <c r="C226" s="47">
        <v>2</v>
      </c>
      <c r="D226" s="47" t="b">
        <f>IF($F$214&gt;=41,IF($F$214&lt;=59,"2",0))</f>
        <v>0</v>
      </c>
      <c r="E226" s="11"/>
      <c r="F226" s="104"/>
      <c r="G226" s="18"/>
    </row>
    <row r="227" spans="1:7" ht="15">
      <c r="A227" s="113"/>
      <c r="B227" s="48" t="s">
        <v>190</v>
      </c>
      <c r="C227" s="47">
        <v>3</v>
      </c>
      <c r="D227" s="47" t="b">
        <f>IF($F$214&gt;=60,IF($F$214&lt;=79,"3",0))</f>
        <v>0</v>
      </c>
      <c r="E227" s="11"/>
      <c r="F227" s="104"/>
      <c r="G227" s="18"/>
    </row>
    <row r="228" spans="1:7" ht="15">
      <c r="A228" s="113"/>
      <c r="B228" s="48" t="s">
        <v>191</v>
      </c>
      <c r="C228" s="47">
        <v>4</v>
      </c>
      <c r="D228" s="47" t="b">
        <f>IF($F$214&gt;=80,IF($F$214&lt;=99,"4",0))</f>
        <v>0</v>
      </c>
      <c r="E228" s="11"/>
      <c r="F228" s="104"/>
      <c r="G228" s="18"/>
    </row>
    <row r="229" spans="1:7" ht="15">
      <c r="A229" s="113"/>
      <c r="B229" s="48" t="s">
        <v>192</v>
      </c>
      <c r="C229" s="47">
        <v>5</v>
      </c>
      <c r="D229" s="47" t="b">
        <f>IF($F$214&gt;=100,IF($F$214&lt;=110,"5",0))</f>
        <v>0</v>
      </c>
      <c r="E229" s="11"/>
      <c r="F229" s="104"/>
      <c r="G229" s="18"/>
    </row>
    <row r="230" spans="1:7" ht="15">
      <c r="A230" s="113"/>
      <c r="B230" s="48" t="s">
        <v>193</v>
      </c>
      <c r="C230" s="47">
        <v>6</v>
      </c>
      <c r="D230" s="47" t="b">
        <f>IF($F$214&gt;=111,IF($F$214&lt;=120,"6",0))</f>
        <v>0</v>
      </c>
      <c r="E230" s="11"/>
      <c r="F230" s="104"/>
      <c r="G230" s="18"/>
    </row>
    <row r="231" spans="1:7" ht="15">
      <c r="A231" s="113"/>
      <c r="B231" s="48" t="s">
        <v>194</v>
      </c>
      <c r="C231" s="47">
        <v>7</v>
      </c>
      <c r="D231" s="47" t="b">
        <f>IF($F$214&gt;=121,IF($F$214&lt;=130,"7",0))</f>
        <v>0</v>
      </c>
      <c r="E231" s="11"/>
      <c r="F231" s="104"/>
      <c r="G231" s="18"/>
    </row>
    <row r="232" spans="1:15" ht="15">
      <c r="A232" s="113"/>
      <c r="B232" s="48" t="s">
        <v>195</v>
      </c>
      <c r="C232" s="47">
        <v>8</v>
      </c>
      <c r="D232" s="47" t="b">
        <f>IF($F$214&gt;=131,IF($F$214&lt;=140,"8",0))</f>
        <v>0</v>
      </c>
      <c r="E232" s="11"/>
      <c r="F232" s="104"/>
      <c r="G232" s="18"/>
      <c r="M232" s="12"/>
      <c r="N232" s="12"/>
      <c r="O232" s="12"/>
    </row>
    <row r="233" spans="1:7" ht="15.75" thickBot="1">
      <c r="A233" s="113"/>
      <c r="B233" s="58" t="s">
        <v>196</v>
      </c>
      <c r="C233" s="50">
        <v>9</v>
      </c>
      <c r="D233" s="50">
        <f>IF($F$214&gt;=141,"9",0)</f>
        <v>0</v>
      </c>
      <c r="E233" s="11"/>
      <c r="F233" s="104"/>
      <c r="G233" s="18"/>
    </row>
    <row r="234" spans="1:7" ht="30" customHeight="1">
      <c r="A234" s="293" t="s">
        <v>4</v>
      </c>
      <c r="B234" s="294"/>
      <c r="C234" s="294"/>
      <c r="D234" s="59">
        <f>D225+D226+D227+D228+D229+D230+D231+D232+D233</f>
        <v>1</v>
      </c>
      <c r="E234" s="11"/>
      <c r="F234" s="104"/>
      <c r="G234" s="18"/>
    </row>
    <row r="235" spans="1:7" ht="15">
      <c r="A235" s="113"/>
      <c r="B235" s="11"/>
      <c r="C235" s="11"/>
      <c r="D235" s="11"/>
      <c r="E235" s="11"/>
      <c r="F235" s="104"/>
      <c r="G235" s="18"/>
    </row>
    <row r="236" spans="1:7" ht="15.75">
      <c r="A236" s="109" t="s">
        <v>71</v>
      </c>
      <c r="B236" s="11"/>
      <c r="C236" s="60" t="s">
        <v>53</v>
      </c>
      <c r="D236" s="11"/>
      <c r="E236" s="11"/>
      <c r="F236" s="104"/>
      <c r="G236" s="18"/>
    </row>
    <row r="237" spans="1:7" ht="16.5" thickBot="1">
      <c r="A237" s="113"/>
      <c r="B237" s="13"/>
      <c r="C237" s="52">
        <v>2</v>
      </c>
      <c r="D237" s="11"/>
      <c r="E237" s="11"/>
      <c r="F237" s="104"/>
      <c r="G237" s="18"/>
    </row>
    <row r="238" spans="1:7" ht="16.5" thickBot="1">
      <c r="A238" s="113"/>
      <c r="B238" s="3"/>
      <c r="C238" s="53">
        <f>ROUND((D199+D234)/2,2)</f>
        <v>0.5</v>
      </c>
      <c r="D238" s="11"/>
      <c r="E238" s="11"/>
      <c r="F238" s="133"/>
      <c r="G238" s="18"/>
    </row>
    <row r="239" spans="1:15" ht="15.75" thickBot="1">
      <c r="A239" s="118"/>
      <c r="B239" s="143"/>
      <c r="C239" s="143"/>
      <c r="D239" s="143"/>
      <c r="E239" s="143"/>
      <c r="F239" s="181"/>
      <c r="G239" s="18"/>
      <c r="M239" s="41"/>
      <c r="N239" s="41"/>
      <c r="O239" s="41"/>
    </row>
    <row r="240" spans="1:6" ht="15.75">
      <c r="A240" s="322" t="s">
        <v>217</v>
      </c>
      <c r="B240" s="323"/>
      <c r="C240" s="323"/>
      <c r="D240" s="323"/>
      <c r="E240" s="323"/>
      <c r="F240" s="324"/>
    </row>
    <row r="241" spans="1:7" ht="99.75" customHeight="1">
      <c r="A241" s="293" t="s">
        <v>54</v>
      </c>
      <c r="B241" s="304"/>
      <c r="C241" s="304"/>
      <c r="D241" s="304"/>
      <c r="E241" s="304"/>
      <c r="F241" s="305"/>
      <c r="G241" s="18"/>
    </row>
    <row r="242" spans="1:7" ht="15">
      <c r="A242" s="113"/>
      <c r="B242" s="13"/>
      <c r="C242" s="101"/>
      <c r="D242" s="101"/>
      <c r="E242" s="101"/>
      <c r="F242" s="140"/>
      <c r="G242" s="18"/>
    </row>
    <row r="243" spans="1:7" ht="69.75" customHeight="1">
      <c r="A243" s="293" t="s">
        <v>112</v>
      </c>
      <c r="B243" s="304"/>
      <c r="C243" s="304"/>
      <c r="D243" s="304"/>
      <c r="E243" s="304"/>
      <c r="F243" s="305"/>
      <c r="G243" s="18"/>
    </row>
    <row r="244" spans="1:10" ht="15">
      <c r="A244" s="113"/>
      <c r="B244" s="13"/>
      <c r="C244" s="13"/>
      <c r="D244" s="13"/>
      <c r="E244" s="13"/>
      <c r="F244" s="121"/>
      <c r="G244" s="18"/>
      <c r="H244" s="41"/>
      <c r="I244" s="41"/>
      <c r="J244" s="41"/>
    </row>
    <row r="245" spans="1:7" ht="16.5" thickBot="1">
      <c r="A245" s="114" t="s">
        <v>128</v>
      </c>
      <c r="B245" s="13"/>
      <c r="C245" s="11"/>
      <c r="D245" s="11"/>
      <c r="E245" s="11"/>
      <c r="F245" s="104"/>
      <c r="G245" s="18"/>
    </row>
    <row r="246" spans="1:10" s="41" customFormat="1" ht="45.75" thickBot="1">
      <c r="A246" s="155"/>
      <c r="B246" s="9" t="s">
        <v>44</v>
      </c>
      <c r="C246" s="318" t="s">
        <v>19</v>
      </c>
      <c r="D246" s="319"/>
      <c r="E246" s="52"/>
      <c r="F246" s="124"/>
      <c r="G246" s="148"/>
      <c r="H246" s="18"/>
      <c r="I246" s="18"/>
      <c r="J246" s="18"/>
    </row>
    <row r="247" spans="1:6" ht="15.75">
      <c r="A247" s="113"/>
      <c r="B247" s="249"/>
      <c r="C247" s="308"/>
      <c r="D247" s="309"/>
      <c r="E247" s="59"/>
      <c r="F247" s="104"/>
    </row>
    <row r="248" spans="1:6" ht="15.75">
      <c r="A248" s="113"/>
      <c r="B248" s="249"/>
      <c r="C248" s="306"/>
      <c r="D248" s="307"/>
      <c r="E248" s="59"/>
      <c r="F248" s="104"/>
    </row>
    <row r="249" spans="1:6" ht="15.75">
      <c r="A249" s="113"/>
      <c r="B249" s="249"/>
      <c r="C249" s="306"/>
      <c r="D249" s="307"/>
      <c r="E249" s="59"/>
      <c r="F249" s="104"/>
    </row>
    <row r="250" spans="1:6" ht="15.75">
      <c r="A250" s="113"/>
      <c r="B250" s="249"/>
      <c r="C250" s="306"/>
      <c r="D250" s="307"/>
      <c r="E250" s="59"/>
      <c r="F250" s="104"/>
    </row>
    <row r="251" spans="1:6" ht="15.75">
      <c r="A251" s="113"/>
      <c r="B251" s="249"/>
      <c r="C251" s="306"/>
      <c r="D251" s="307"/>
      <c r="E251" s="59"/>
      <c r="F251" s="104"/>
    </row>
    <row r="252" spans="1:6" ht="15.75">
      <c r="A252" s="113"/>
      <c r="B252" s="249" t="s">
        <v>15</v>
      </c>
      <c r="C252" s="306"/>
      <c r="D252" s="307"/>
      <c r="E252" s="59"/>
      <c r="F252" s="104"/>
    </row>
    <row r="253" spans="1:6" ht="15.75">
      <c r="A253" s="113"/>
      <c r="B253" s="249" t="s">
        <v>15</v>
      </c>
      <c r="C253" s="306"/>
      <c r="D253" s="307"/>
      <c r="E253" s="59"/>
      <c r="F253" s="104"/>
    </row>
    <row r="254" spans="1:6" ht="15.75">
      <c r="A254" s="113"/>
      <c r="B254" s="249"/>
      <c r="C254" s="306"/>
      <c r="D254" s="307"/>
      <c r="E254" s="59"/>
      <c r="F254" s="104"/>
    </row>
    <row r="255" spans="1:6" ht="15.75">
      <c r="A255" s="113"/>
      <c r="B255" s="207"/>
      <c r="C255" s="306"/>
      <c r="D255" s="307"/>
      <c r="E255" s="59"/>
      <c r="F255" s="104"/>
    </row>
    <row r="256" spans="1:6" ht="16.5" thickBot="1">
      <c r="A256" s="113"/>
      <c r="B256" s="211"/>
      <c r="C256" s="325"/>
      <c r="D256" s="326"/>
      <c r="E256" s="59"/>
      <c r="F256" s="104"/>
    </row>
    <row r="257" spans="1:10" ht="15.75">
      <c r="A257" s="113"/>
      <c r="B257" s="62">
        <f>COUNT(B247:B256)</f>
        <v>0</v>
      </c>
      <c r="C257" s="11"/>
      <c r="D257" s="11"/>
      <c r="E257" s="59"/>
      <c r="F257" s="104"/>
      <c r="H257" s="41"/>
      <c r="I257" s="41"/>
      <c r="J257" s="41"/>
    </row>
    <row r="258" spans="1:6" ht="16.5" thickBot="1">
      <c r="A258" s="113"/>
      <c r="B258" s="11"/>
      <c r="C258" s="11"/>
      <c r="D258" s="11"/>
      <c r="E258" s="59"/>
      <c r="F258" s="104"/>
    </row>
    <row r="259" spans="1:10" s="41" customFormat="1" ht="15.75" thickBot="1">
      <c r="A259" s="155"/>
      <c r="B259" s="27"/>
      <c r="C259" s="27" t="s">
        <v>49</v>
      </c>
      <c r="D259" s="9" t="s">
        <v>120</v>
      </c>
      <c r="E259" s="146"/>
      <c r="F259" s="124"/>
      <c r="G259" s="148"/>
      <c r="H259" s="18"/>
      <c r="I259" s="18"/>
      <c r="J259" s="18"/>
    </row>
    <row r="260" spans="1:6" ht="15">
      <c r="A260" s="113"/>
      <c r="B260" s="46"/>
      <c r="C260" s="46"/>
      <c r="D260" s="144"/>
      <c r="E260" s="25"/>
      <c r="F260" s="121"/>
    </row>
    <row r="261" spans="1:6" ht="30">
      <c r="A261" s="113"/>
      <c r="B261" s="139" t="s">
        <v>130</v>
      </c>
      <c r="C261" s="48">
        <v>5</v>
      </c>
      <c r="D261" s="57" t="str">
        <f>IF($B$257=0,"5",0)</f>
        <v>5</v>
      </c>
      <c r="E261" s="25"/>
      <c r="F261" s="121"/>
    </row>
    <row r="262" spans="1:6" ht="30">
      <c r="A262" s="113"/>
      <c r="B262" s="61" t="s">
        <v>131</v>
      </c>
      <c r="C262" s="48">
        <v>6</v>
      </c>
      <c r="D262" s="47">
        <f>IF($B$257=1,"6",0)</f>
        <v>0</v>
      </c>
      <c r="E262" s="25"/>
      <c r="F262" s="121"/>
    </row>
    <row r="263" spans="1:6" ht="30">
      <c r="A263" s="113"/>
      <c r="B263" s="61" t="s">
        <v>132</v>
      </c>
      <c r="C263" s="92">
        <v>8</v>
      </c>
      <c r="D263" s="47">
        <f>IF($B$257=2,"8",0)</f>
        <v>0</v>
      </c>
      <c r="E263" s="25"/>
      <c r="F263" s="121"/>
    </row>
    <row r="264" spans="1:6" ht="30.75" thickBot="1">
      <c r="A264" s="113"/>
      <c r="B264" s="49" t="s">
        <v>133</v>
      </c>
      <c r="C264" s="58">
        <v>9</v>
      </c>
      <c r="D264" s="50">
        <f>IF($B$257&gt;=3,"9",0)</f>
        <v>0</v>
      </c>
      <c r="E264" s="25"/>
      <c r="F264" s="121"/>
    </row>
    <row r="265" spans="1:6" ht="15.75">
      <c r="A265" s="113"/>
      <c r="B265" s="11"/>
      <c r="C265" s="11"/>
      <c r="D265" s="29">
        <f>D260+D261+D262+D263+D264</f>
        <v>5</v>
      </c>
      <c r="E265" s="62"/>
      <c r="F265" s="121"/>
    </row>
    <row r="266" spans="1:6" ht="15.75">
      <c r="A266" s="113"/>
      <c r="B266" s="13"/>
      <c r="C266" s="11"/>
      <c r="D266" s="11"/>
      <c r="E266" s="59"/>
      <c r="F266" s="121"/>
    </row>
    <row r="267" spans="1:6" ht="15.75">
      <c r="A267" s="113" t="s">
        <v>38</v>
      </c>
      <c r="B267" s="13"/>
      <c r="C267" s="59"/>
      <c r="D267" s="30">
        <f>D265</f>
        <v>5</v>
      </c>
      <c r="E267" s="59"/>
      <c r="F267" s="121"/>
    </row>
    <row r="268" spans="1:6" ht="15.75">
      <c r="A268" s="113"/>
      <c r="B268" s="13"/>
      <c r="C268" s="11"/>
      <c r="D268" s="11"/>
      <c r="E268" s="59"/>
      <c r="F268" s="121"/>
    </row>
    <row r="269" spans="1:6" ht="91.5" customHeight="1">
      <c r="A269" s="293" t="s">
        <v>201</v>
      </c>
      <c r="B269" s="304"/>
      <c r="C269" s="304"/>
      <c r="D269" s="304"/>
      <c r="E269" s="304"/>
      <c r="F269" s="305"/>
    </row>
    <row r="270" spans="1:10" ht="15.75">
      <c r="A270" s="113"/>
      <c r="B270" s="310"/>
      <c r="C270" s="310"/>
      <c r="D270" s="11"/>
      <c r="E270" s="11"/>
      <c r="F270" s="104"/>
      <c r="H270" s="41"/>
      <c r="I270" s="41"/>
      <c r="J270" s="41"/>
    </row>
    <row r="271" spans="1:6" ht="16.5" thickBot="1">
      <c r="A271" s="114" t="s">
        <v>129</v>
      </c>
      <c r="B271" s="11"/>
      <c r="C271" s="11"/>
      <c r="D271" s="11"/>
      <c r="E271" s="11"/>
      <c r="F271" s="104"/>
    </row>
    <row r="272" spans="1:10" s="41" customFormat="1" ht="45.75" thickBot="1">
      <c r="A272" s="155"/>
      <c r="B272" s="9" t="s">
        <v>44</v>
      </c>
      <c r="C272" s="318" t="s">
        <v>19</v>
      </c>
      <c r="D272" s="319"/>
      <c r="E272" s="52"/>
      <c r="F272" s="124"/>
      <c r="G272" s="148"/>
      <c r="H272" s="18"/>
      <c r="I272" s="18"/>
      <c r="J272" s="18"/>
    </row>
    <row r="273" spans="1:6" ht="15.75">
      <c r="A273" s="113"/>
      <c r="B273" s="251"/>
      <c r="C273" s="308"/>
      <c r="D273" s="309"/>
      <c r="E273" s="59"/>
      <c r="F273" s="121"/>
    </row>
    <row r="274" spans="1:6" ht="15.75">
      <c r="A274" s="113"/>
      <c r="B274" s="251"/>
      <c r="C274" s="306"/>
      <c r="D274" s="307"/>
      <c r="E274" s="59"/>
      <c r="F274" s="121"/>
    </row>
    <row r="275" spans="1:6" ht="15.75">
      <c r="A275" s="113"/>
      <c r="B275" s="251"/>
      <c r="C275" s="306"/>
      <c r="D275" s="307"/>
      <c r="E275" s="59"/>
      <c r="F275" s="121"/>
    </row>
    <row r="276" spans="1:6" ht="15.75">
      <c r="A276" s="113"/>
      <c r="B276" s="251"/>
      <c r="C276" s="306"/>
      <c r="D276" s="307"/>
      <c r="E276" s="59"/>
      <c r="F276" s="121"/>
    </row>
    <row r="277" spans="1:6" ht="15.75">
      <c r="A277" s="113"/>
      <c r="B277" s="251"/>
      <c r="C277" s="306"/>
      <c r="D277" s="307"/>
      <c r="E277" s="59"/>
      <c r="F277" s="121"/>
    </row>
    <row r="278" spans="1:6" ht="15.75">
      <c r="A278" s="113"/>
      <c r="B278" s="252" t="s">
        <v>15</v>
      </c>
      <c r="C278" s="306"/>
      <c r="D278" s="307"/>
      <c r="E278" s="59"/>
      <c r="F278" s="121"/>
    </row>
    <row r="279" spans="1:6" ht="15.75">
      <c r="A279" s="113"/>
      <c r="B279" s="253" t="s">
        <v>15</v>
      </c>
      <c r="C279" s="306"/>
      <c r="D279" s="307"/>
      <c r="E279" s="59"/>
      <c r="F279" s="121"/>
    </row>
    <row r="280" spans="1:6" ht="15.75">
      <c r="A280" s="113"/>
      <c r="B280" s="253"/>
      <c r="C280" s="306"/>
      <c r="D280" s="307"/>
      <c r="E280" s="59"/>
      <c r="F280" s="121"/>
    </row>
    <row r="281" spans="1:6" ht="15.75">
      <c r="A281" s="113"/>
      <c r="B281" s="253"/>
      <c r="C281" s="306"/>
      <c r="D281" s="307"/>
      <c r="E281" s="59"/>
      <c r="F281" s="121"/>
    </row>
    <row r="282" spans="1:6" ht="16.5" thickBot="1">
      <c r="A282" s="113"/>
      <c r="B282" s="254"/>
      <c r="C282" s="325"/>
      <c r="D282" s="326"/>
      <c r="E282" s="59"/>
      <c r="F282" s="121"/>
    </row>
    <row r="283" spans="1:10" ht="16.5" thickBot="1">
      <c r="A283" s="118"/>
      <c r="B283" s="119">
        <f>COUNT(B273:B282)</f>
        <v>0</v>
      </c>
      <c r="C283" s="143"/>
      <c r="D283" s="143"/>
      <c r="E283" s="103"/>
      <c r="F283" s="134"/>
      <c r="H283" s="41"/>
      <c r="I283" s="41"/>
      <c r="J283" s="41"/>
    </row>
    <row r="284" spans="1:6" ht="16.5" thickBot="1">
      <c r="A284" s="147"/>
      <c r="B284" s="145"/>
      <c r="C284" s="145"/>
      <c r="D284" s="145"/>
      <c r="E284" s="178"/>
      <c r="F284" s="179"/>
    </row>
    <row r="285" spans="1:10" s="41" customFormat="1" ht="15.75" thickBot="1">
      <c r="A285" s="155"/>
      <c r="B285" s="27"/>
      <c r="C285" s="27" t="s">
        <v>17</v>
      </c>
      <c r="D285" s="9" t="s">
        <v>120</v>
      </c>
      <c r="E285" s="146"/>
      <c r="F285" s="124"/>
      <c r="G285" s="148"/>
      <c r="H285" s="18"/>
      <c r="I285" s="18"/>
      <c r="J285" s="18"/>
    </row>
    <row r="286" spans="1:6" ht="15">
      <c r="A286" s="113"/>
      <c r="B286" s="46"/>
      <c r="C286" s="46"/>
      <c r="D286" s="144"/>
      <c r="E286" s="25"/>
      <c r="F286" s="104"/>
    </row>
    <row r="287" spans="1:6" ht="30">
      <c r="A287" s="113"/>
      <c r="B287" s="139" t="s">
        <v>130</v>
      </c>
      <c r="C287" s="48">
        <v>5</v>
      </c>
      <c r="D287" s="57" t="str">
        <f>IF($B$283=0,"5",0)</f>
        <v>5</v>
      </c>
      <c r="E287" s="25"/>
      <c r="F287" s="104"/>
    </row>
    <row r="288" spans="1:6" ht="30">
      <c r="A288" s="113"/>
      <c r="B288" s="61" t="s">
        <v>131</v>
      </c>
      <c r="C288" s="48">
        <v>6</v>
      </c>
      <c r="D288" s="47">
        <f>IF($B$283=1,"6",0)</f>
        <v>0</v>
      </c>
      <c r="E288" s="25"/>
      <c r="F288" s="104"/>
    </row>
    <row r="289" spans="1:6" ht="30">
      <c r="A289" s="113"/>
      <c r="B289" s="61" t="s">
        <v>132</v>
      </c>
      <c r="C289" s="92">
        <v>8</v>
      </c>
      <c r="D289" s="47">
        <f>IF($B$283=2,"8",0)</f>
        <v>0</v>
      </c>
      <c r="E289" s="25"/>
      <c r="F289" s="104"/>
    </row>
    <row r="290" spans="1:6" ht="30.75" thickBot="1">
      <c r="A290" s="113"/>
      <c r="B290" s="49" t="s">
        <v>133</v>
      </c>
      <c r="C290" s="58">
        <v>9</v>
      </c>
      <c r="D290" s="50">
        <f>IF($B$283&gt;=3,"9",0)</f>
        <v>0</v>
      </c>
      <c r="E290" s="25"/>
      <c r="F290" s="104"/>
    </row>
    <row r="291" spans="1:6" ht="15.75">
      <c r="A291" s="113"/>
      <c r="B291" s="13"/>
      <c r="C291" s="11"/>
      <c r="D291" s="62">
        <f>D286+D287+D288+D289+D290</f>
        <v>5</v>
      </c>
      <c r="E291" s="11"/>
      <c r="F291" s="104"/>
    </row>
    <row r="292" spans="1:6" ht="15.75">
      <c r="A292" s="113"/>
      <c r="B292" s="11"/>
      <c r="C292" s="11"/>
      <c r="D292" s="11"/>
      <c r="E292" s="59"/>
      <c r="F292" s="104"/>
    </row>
    <row r="293" spans="1:6" ht="15.75">
      <c r="A293" s="113" t="s">
        <v>39</v>
      </c>
      <c r="B293" s="11"/>
      <c r="C293" s="11"/>
      <c r="D293" s="29">
        <f>D291</f>
        <v>5</v>
      </c>
      <c r="E293" s="59"/>
      <c r="F293" s="104"/>
    </row>
    <row r="294" spans="1:6" ht="15.75">
      <c r="A294" s="113"/>
      <c r="B294" s="11"/>
      <c r="C294" s="11"/>
      <c r="D294" s="11"/>
      <c r="E294" s="59"/>
      <c r="F294" s="104"/>
    </row>
    <row r="295" spans="1:6" ht="15.75">
      <c r="A295" s="320" t="s">
        <v>72</v>
      </c>
      <c r="B295" s="321"/>
      <c r="C295" s="60" t="s">
        <v>103</v>
      </c>
      <c r="D295" s="11"/>
      <c r="E295" s="59"/>
      <c r="F295" s="104"/>
    </row>
    <row r="296" spans="1:6" ht="15.75">
      <c r="A296" s="113"/>
      <c r="B296" s="11"/>
      <c r="C296" s="52">
        <v>2</v>
      </c>
      <c r="D296" s="11"/>
      <c r="E296" s="59"/>
      <c r="F296" s="104"/>
    </row>
    <row r="297" spans="1:6" ht="16.5" thickBot="1">
      <c r="A297" s="113"/>
      <c r="B297" s="13"/>
      <c r="C297" s="11"/>
      <c r="D297" s="11"/>
      <c r="E297" s="59"/>
      <c r="F297" s="104"/>
    </row>
    <row r="298" spans="1:7" ht="16.5" thickBot="1">
      <c r="A298" s="113"/>
      <c r="B298" s="11"/>
      <c r="C298" s="53">
        <f>(D267+D293)/2</f>
        <v>5</v>
      </c>
      <c r="D298" s="11"/>
      <c r="E298" s="11"/>
      <c r="F298" s="104"/>
      <c r="G298" s="63"/>
    </row>
    <row r="299" spans="1:6" ht="15.75">
      <c r="A299" s="113"/>
      <c r="B299" s="339"/>
      <c r="C299" s="304"/>
      <c r="D299" s="11"/>
      <c r="E299" s="11"/>
      <c r="F299" s="104"/>
    </row>
    <row r="300" spans="1:6" ht="16.5" thickBot="1">
      <c r="A300" s="114" t="s">
        <v>55</v>
      </c>
      <c r="B300" s="11"/>
      <c r="C300" s="11"/>
      <c r="D300" s="11"/>
      <c r="E300" s="11"/>
      <c r="F300" s="104"/>
    </row>
    <row r="301" spans="1:6" ht="16.5" thickBot="1">
      <c r="A301" s="64" t="s">
        <v>73</v>
      </c>
      <c r="B301" s="65" t="s">
        <v>47</v>
      </c>
      <c r="C301" s="64" t="s">
        <v>120</v>
      </c>
      <c r="D301" s="66" t="s">
        <v>74</v>
      </c>
      <c r="E301" s="67" t="s">
        <v>69</v>
      </c>
      <c r="F301" s="104"/>
    </row>
    <row r="302" spans="1:6" ht="16.5" thickBot="1">
      <c r="A302" s="136" t="s">
        <v>108</v>
      </c>
      <c r="B302" s="157">
        <f>C42</f>
        <v>55</v>
      </c>
      <c r="C302" s="158">
        <f>C190</f>
        <v>1.67</v>
      </c>
      <c r="D302" s="159">
        <f>C302*10</f>
        <v>16.7</v>
      </c>
      <c r="E302" s="160">
        <f>B302*D302</f>
        <v>918.5</v>
      </c>
      <c r="F302" s="104"/>
    </row>
    <row r="303" spans="1:6" ht="16.5" thickBot="1">
      <c r="A303" s="136" t="s">
        <v>107</v>
      </c>
      <c r="B303" s="157">
        <f>C44</f>
        <v>37</v>
      </c>
      <c r="C303" s="158">
        <f>C238</f>
        <v>0.5</v>
      </c>
      <c r="D303" s="159">
        <f>C303*10</f>
        <v>5</v>
      </c>
      <c r="E303" s="160">
        <f>B303*D303</f>
        <v>185</v>
      </c>
      <c r="F303" s="104"/>
    </row>
    <row r="304" spans="1:6" ht="16.5" thickBot="1">
      <c r="A304" s="136" t="s">
        <v>109</v>
      </c>
      <c r="B304" s="157">
        <f>C46</f>
        <v>8</v>
      </c>
      <c r="C304" s="158">
        <f>C298</f>
        <v>5</v>
      </c>
      <c r="D304" s="159">
        <f>C304*10</f>
        <v>50</v>
      </c>
      <c r="E304" s="160">
        <f>B304*D304</f>
        <v>400</v>
      </c>
      <c r="F304" s="104"/>
    </row>
    <row r="305" spans="1:6" ht="16.5" thickBot="1">
      <c r="A305" s="137" t="s">
        <v>75</v>
      </c>
      <c r="B305" s="161"/>
      <c r="C305" s="161"/>
      <c r="D305" s="53"/>
      <c r="E305" s="53">
        <f>SUM(E302:E304)</f>
        <v>1503.5</v>
      </c>
      <c r="F305" s="104"/>
    </row>
    <row r="306" spans="1:6" ht="29.25" customHeight="1">
      <c r="A306" s="293" t="s">
        <v>85</v>
      </c>
      <c r="B306" s="297"/>
      <c r="C306" s="297"/>
      <c r="D306" s="297"/>
      <c r="E306" s="297"/>
      <c r="F306" s="298"/>
    </row>
    <row r="307" spans="1:10" ht="15.75" thickBot="1">
      <c r="A307" s="113"/>
      <c r="B307" s="13"/>
      <c r="C307" s="11"/>
      <c r="D307" s="11"/>
      <c r="E307" s="11"/>
      <c r="F307" s="104"/>
      <c r="H307" s="12"/>
      <c r="I307" s="74"/>
      <c r="J307" s="74"/>
    </row>
    <row r="308" spans="1:10" ht="33" customHeight="1">
      <c r="A308" s="340" t="s">
        <v>159</v>
      </c>
      <c r="B308" s="335" t="s">
        <v>59</v>
      </c>
      <c r="C308" s="336"/>
      <c r="D308" s="68" t="s">
        <v>62</v>
      </c>
      <c r="E308" s="69" t="s">
        <v>89</v>
      </c>
      <c r="F308" s="70" t="str">
        <f>IF($E$305&gt;=0,IF($E$305&lt;=1800,"N-",0))</f>
        <v>N-</v>
      </c>
      <c r="H308" s="74"/>
      <c r="I308" s="12"/>
      <c r="J308" s="74"/>
    </row>
    <row r="309" spans="1:10" ht="33" customHeight="1">
      <c r="A309" s="341"/>
      <c r="B309" s="337" t="s">
        <v>60</v>
      </c>
      <c r="C309" s="338"/>
      <c r="D309" s="71" t="s">
        <v>51</v>
      </c>
      <c r="E309" s="72" t="s">
        <v>90</v>
      </c>
      <c r="F309" s="73" t="b">
        <f>IF($E$305&gt;=1801,IF($E$305&lt;=2700,"N",0))</f>
        <v>0</v>
      </c>
      <c r="H309" s="56"/>
      <c r="I309" s="74"/>
      <c r="J309" s="74"/>
    </row>
    <row r="310" spans="1:10" ht="33" customHeight="1" thickBot="1">
      <c r="A310" s="342"/>
      <c r="B310" s="333" t="s">
        <v>61</v>
      </c>
      <c r="C310" s="334"/>
      <c r="D310" s="75" t="s">
        <v>88</v>
      </c>
      <c r="E310" s="76" t="s">
        <v>91</v>
      </c>
      <c r="F310" s="77" t="b">
        <f>IF($E$305&gt;=2701,IF($E$305&lt;=3600,"N+",0))</f>
        <v>0</v>
      </c>
      <c r="H310" s="56"/>
      <c r="I310" s="12"/>
      <c r="J310" s="74"/>
    </row>
    <row r="311" spans="1:10" ht="33" customHeight="1">
      <c r="A311" s="340" t="s">
        <v>160</v>
      </c>
      <c r="B311" s="335" t="s">
        <v>63</v>
      </c>
      <c r="C311" s="336"/>
      <c r="D311" s="78" t="s">
        <v>92</v>
      </c>
      <c r="E311" s="69" t="s">
        <v>95</v>
      </c>
      <c r="F311" s="70" t="b">
        <f>IF($E$305&gt;=3601,IF($E$305&lt;=4500,"S-",0))</f>
        <v>0</v>
      </c>
      <c r="H311" s="12"/>
      <c r="I311" s="12"/>
      <c r="J311" s="74"/>
    </row>
    <row r="312" spans="1:10" ht="33" customHeight="1">
      <c r="A312" s="341"/>
      <c r="B312" s="337" t="s">
        <v>64</v>
      </c>
      <c r="C312" s="338"/>
      <c r="D312" s="71" t="s">
        <v>93</v>
      </c>
      <c r="E312" s="72" t="s">
        <v>96</v>
      </c>
      <c r="F312" s="73" t="b">
        <f>IF($E$305&gt;=4501,IF($E$305&lt;=5400,"S",0))</f>
        <v>0</v>
      </c>
      <c r="H312" s="12"/>
      <c r="I312" s="12"/>
      <c r="J312" s="74"/>
    </row>
    <row r="313" spans="1:10" ht="33" customHeight="1" thickBot="1">
      <c r="A313" s="342"/>
      <c r="B313" s="333" t="s">
        <v>10</v>
      </c>
      <c r="C313" s="334"/>
      <c r="D313" s="75" t="s">
        <v>94</v>
      </c>
      <c r="E313" s="76" t="s">
        <v>97</v>
      </c>
      <c r="F313" s="77" t="b">
        <f>IF($E$305&gt;=5401,IF($E$305&lt;=6300,"S+",0))</f>
        <v>0</v>
      </c>
      <c r="H313" s="74"/>
      <c r="I313" s="74"/>
      <c r="J313" s="74"/>
    </row>
    <row r="314" spans="1:10" ht="33" customHeight="1">
      <c r="A314" s="340" t="s">
        <v>161</v>
      </c>
      <c r="B314" s="335" t="s">
        <v>11</v>
      </c>
      <c r="C314" s="336"/>
      <c r="D314" s="69" t="s">
        <v>98</v>
      </c>
      <c r="E314" s="69" t="s">
        <v>100</v>
      </c>
      <c r="F314" s="70" t="b">
        <f>IF($E$305&gt;=6301,IF($E$305&lt;=7200,"M-",0))</f>
        <v>0</v>
      </c>
      <c r="H314" s="56"/>
      <c r="I314" s="12"/>
      <c r="J314" s="74"/>
    </row>
    <row r="315" spans="1:10" ht="33" customHeight="1">
      <c r="A315" s="341"/>
      <c r="B315" s="337" t="s">
        <v>12</v>
      </c>
      <c r="C315" s="338"/>
      <c r="D315" s="72" t="s">
        <v>99</v>
      </c>
      <c r="E315" s="72" t="s">
        <v>101</v>
      </c>
      <c r="F315" s="73" t="b">
        <f>IF($E$305&gt;=7201,IF($E$305&lt;=8100,"M",0))</f>
        <v>0</v>
      </c>
      <c r="H315" s="56"/>
      <c r="I315" s="56"/>
      <c r="J315" s="74"/>
    </row>
    <row r="316" spans="1:10" ht="33" customHeight="1" thickBot="1">
      <c r="A316" s="342"/>
      <c r="B316" s="333" t="s">
        <v>13</v>
      </c>
      <c r="C316" s="334"/>
      <c r="D316" s="75" t="s">
        <v>14</v>
      </c>
      <c r="E316" s="76" t="s">
        <v>102</v>
      </c>
      <c r="F316" s="77" t="b">
        <f>IF($E$305&gt;=8101,IF($E$305&lt;=20000,"M+",0))</f>
        <v>0</v>
      </c>
      <c r="H316" s="56"/>
      <c r="I316" s="56"/>
      <c r="J316" s="74"/>
    </row>
    <row r="317" spans="1:10" s="12" customFormat="1" ht="15.75" thickBot="1">
      <c r="A317" s="31"/>
      <c r="B317" s="11"/>
      <c r="C317" s="11"/>
      <c r="D317" s="11"/>
      <c r="E317" s="11"/>
      <c r="F317" s="104"/>
      <c r="G317" s="38"/>
      <c r="J317" s="74"/>
    </row>
    <row r="318" spans="1:10" ht="32.25" thickBot="1">
      <c r="A318" s="113"/>
      <c r="B318" s="13"/>
      <c r="C318" s="11"/>
      <c r="D318" s="11"/>
      <c r="E318" s="1"/>
      <c r="F318" s="2" t="s">
        <v>50</v>
      </c>
      <c r="H318" s="12"/>
      <c r="I318" s="74"/>
      <c r="J318" s="74"/>
    </row>
    <row r="319" spans="1:10" ht="15.75">
      <c r="A319" s="113"/>
      <c r="B319" s="13"/>
      <c r="C319" s="11"/>
      <c r="D319" s="11"/>
      <c r="E319" s="1"/>
      <c r="F319" s="141"/>
      <c r="H319" s="12"/>
      <c r="I319" s="74"/>
      <c r="J319" s="74"/>
    </row>
    <row r="320" spans="1:10" ht="63.75" customHeight="1">
      <c r="A320" s="327" t="s">
        <v>232</v>
      </c>
      <c r="B320" s="328"/>
      <c r="C320" s="328"/>
      <c r="D320" s="328"/>
      <c r="E320" s="328"/>
      <c r="F320" s="329"/>
      <c r="H320" s="12"/>
      <c r="I320" s="74"/>
      <c r="J320" s="74"/>
    </row>
    <row r="321" spans="1:10" ht="16.5" thickBot="1">
      <c r="A321" s="162"/>
      <c r="B321" s="163"/>
      <c r="C321" s="163"/>
      <c r="D321" s="163"/>
      <c r="E321" s="163"/>
      <c r="F321" s="164"/>
      <c r="H321" s="12"/>
      <c r="I321" s="74"/>
      <c r="J321" s="74"/>
    </row>
    <row r="322" spans="1:10" ht="71.25" customHeight="1" thickBot="1">
      <c r="A322" s="330"/>
      <c r="B322" s="331"/>
      <c r="C322" s="331"/>
      <c r="D322" s="331"/>
      <c r="E322" s="331"/>
      <c r="F322" s="332"/>
      <c r="H322" s="12"/>
      <c r="I322" s="74"/>
      <c r="J322" s="74"/>
    </row>
    <row r="323" spans="1:10" ht="15">
      <c r="A323" s="191"/>
      <c r="B323" s="192"/>
      <c r="C323" s="192"/>
      <c r="D323" s="192"/>
      <c r="E323" s="192"/>
      <c r="F323" s="193"/>
      <c r="H323" s="74"/>
      <c r="I323" s="12"/>
      <c r="J323" s="74"/>
    </row>
    <row r="324" spans="1:6" ht="30">
      <c r="A324" s="194" t="s">
        <v>203</v>
      </c>
      <c r="B324" s="195"/>
      <c r="C324" s="195"/>
      <c r="D324" s="196" t="s">
        <v>233</v>
      </c>
      <c r="E324" s="197"/>
      <c r="F324" s="198"/>
    </row>
    <row r="325" spans="1:6" ht="15.75" thickBot="1">
      <c r="A325" s="118"/>
      <c r="B325" s="142"/>
      <c r="C325" s="143"/>
      <c r="D325" s="143"/>
      <c r="E325" s="143"/>
      <c r="F325" s="132"/>
    </row>
  </sheetData>
  <sheetProtection password="C64A" sheet="1" objects="1" scenarios="1" selectLockedCells="1"/>
  <mergeCells count="71">
    <mergeCell ref="A119:F119"/>
    <mergeCell ref="A162:F162"/>
    <mergeCell ref="C280:D280"/>
    <mergeCell ref="A269:F269"/>
    <mergeCell ref="A234:C234"/>
    <mergeCell ref="A199:C199"/>
    <mergeCell ref="A201:F201"/>
    <mergeCell ref="A186:F186"/>
    <mergeCell ref="A241:F241"/>
    <mergeCell ref="A243:F243"/>
    <mergeCell ref="A322:F322"/>
    <mergeCell ref="C273:D273"/>
    <mergeCell ref="B308:C308"/>
    <mergeCell ref="B309:C309"/>
    <mergeCell ref="B310:C310"/>
    <mergeCell ref="C281:D281"/>
    <mergeCell ref="C275:D275"/>
    <mergeCell ref="C277:D277"/>
    <mergeCell ref="A320:F320"/>
    <mergeCell ref="C282:D282"/>
    <mergeCell ref="A295:B295"/>
    <mergeCell ref="B299:C299"/>
    <mergeCell ref="A306:F306"/>
    <mergeCell ref="A308:A310"/>
    <mergeCell ref="A311:A313"/>
    <mergeCell ref="A314:A316"/>
    <mergeCell ref="B316:C316"/>
    <mergeCell ref="B315:C315"/>
    <mergeCell ref="B314:C314"/>
    <mergeCell ref="A1:F1"/>
    <mergeCell ref="A10:F10"/>
    <mergeCell ref="A15:F15"/>
    <mergeCell ref="A11:F11"/>
    <mergeCell ref="A2:F2"/>
    <mergeCell ref="A3:E3"/>
    <mergeCell ref="A100:F100"/>
    <mergeCell ref="D33:E35"/>
    <mergeCell ref="A41:C41"/>
    <mergeCell ref="A39:F39"/>
    <mergeCell ref="A49:F49"/>
    <mergeCell ref="A84:D84"/>
    <mergeCell ref="A102:F102"/>
    <mergeCell ref="D41:F41"/>
    <mergeCell ref="A117:F117"/>
    <mergeCell ref="A240:F240"/>
    <mergeCell ref="B203:F203"/>
    <mergeCell ref="B204:F204"/>
    <mergeCell ref="A206:F206"/>
    <mergeCell ref="A193:F193"/>
    <mergeCell ref="A154:F154"/>
    <mergeCell ref="A185:F185"/>
    <mergeCell ref="C256:D256"/>
    <mergeCell ref="C246:D246"/>
    <mergeCell ref="C250:D250"/>
    <mergeCell ref="C247:D247"/>
    <mergeCell ref="C254:D254"/>
    <mergeCell ref="C255:D255"/>
    <mergeCell ref="C248:D248"/>
    <mergeCell ref="C249:D249"/>
    <mergeCell ref="C253:D253"/>
    <mergeCell ref="C251:D251"/>
    <mergeCell ref="C252:D252"/>
    <mergeCell ref="B311:C311"/>
    <mergeCell ref="B312:C312"/>
    <mergeCell ref="B313:C313"/>
    <mergeCell ref="C278:D278"/>
    <mergeCell ref="C279:D279"/>
    <mergeCell ref="C276:D276"/>
    <mergeCell ref="B270:C270"/>
    <mergeCell ref="C272:D272"/>
    <mergeCell ref="C274:D274"/>
  </mergeCells>
  <printOptions horizontalCentered="1"/>
  <pageMargins left="0.5511811023622047" right="0.5511811023622047" top="0.7874015748031497" bottom="0.5905511811023623" header="0.5118110236220472" footer="0.5118110236220472"/>
  <pageSetup orientation="portrait" paperSize="9" scale="72" r:id="rId1"/>
  <headerFooter alignWithMargins="0">
    <oddHeader>&amp;R&amp;P</oddHeader>
  </headerFooter>
  <rowBreaks count="6" manualBreakCount="6">
    <brk id="39" max="5" man="1"/>
    <brk id="98" max="5" man="1"/>
    <brk id="152" max="5" man="1"/>
    <brk id="191" max="5" man="1"/>
    <brk id="239" max="5" man="1"/>
    <brk id="28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Stellenbosch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c:creator>
  <cp:keywords/>
  <dc:description/>
  <cp:lastModifiedBy>Jean-François Moyen</cp:lastModifiedBy>
  <cp:lastPrinted>2007-06-20T13:57:34Z</cp:lastPrinted>
  <dcterms:created xsi:type="dcterms:W3CDTF">2006-05-19T08:17:24Z</dcterms:created>
  <dcterms:modified xsi:type="dcterms:W3CDTF">2009-02-06T10:04:20Z</dcterms:modified>
  <cp:category/>
  <cp:version/>
  <cp:contentType/>
  <cp:contentStatus/>
</cp:coreProperties>
</file>